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0620" windowHeight="12600" activeTab="0"/>
  </bookViews>
  <sheets>
    <sheet name="補強コンクリートブロック塀の検討" sheetId="1" r:id="rId1"/>
    <sheet name="鉄筋コンクリート塀の検討" sheetId="2" r:id="rId2"/>
  </sheets>
  <definedNames>
    <definedName name="_0">#N/A</definedName>
    <definedName name="\p" localSheetId="1">#REF!</definedName>
    <definedName name="\p" localSheetId="0">#REF!</definedName>
    <definedName name="\p">#REF!</definedName>
    <definedName name="_xlnm.Print_Area" localSheetId="1">'鉄筋コンクリート塀の検討'!$A$2:$N$54</definedName>
    <definedName name="_xlnm.Print_Area" localSheetId="0">'補強コンクリートブロック塀の検討'!$A$2:$N$54</definedName>
  </definedNames>
  <calcPr fullCalcOnLoad="1"/>
</workbook>
</file>

<file path=xl/comments1.xml><?xml version="1.0" encoding="utf-8"?>
<comments xmlns="http://schemas.openxmlformats.org/spreadsheetml/2006/main">
  <authors>
    <author>建築本部　建築部　設計室</author>
    <author>AKIRA OTA</author>
    <author>エスパス建築事務所</author>
    <author>太田　彰</author>
  </authors>
  <commentList>
    <comment ref="C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D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E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C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D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E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C2" authorId="1">
      <text>
        <r>
          <rPr>
            <b/>
            <sz val="11"/>
            <rFont val="ＭＳ Ｐゴシック"/>
            <family val="3"/>
          </rPr>
          <t>コメント</t>
        </r>
      </text>
    </comment>
    <comment ref="N1" authorId="2">
      <text>
        <r>
          <rPr>
            <b/>
            <sz val="11"/>
            <rFont val="ＭＳ Ｐゴシック"/>
            <family val="3"/>
          </rPr>
          <t>PAGE</t>
        </r>
      </text>
    </comment>
    <comment ref="O2" authorId="0">
      <text>
        <r>
          <rPr>
            <b/>
            <sz val="11"/>
            <rFont val="ＭＳ Ｐゴシック"/>
            <family val="3"/>
          </rPr>
          <t>サブ符号</t>
        </r>
      </text>
    </comment>
    <comment ref="F4" authorId="0">
      <text>
        <r>
          <rPr>
            <b/>
            <sz val="10"/>
            <rFont val="ＭＳ Ｐゴシック"/>
            <family val="3"/>
          </rPr>
          <t>選択して下さい</t>
        </r>
      </text>
    </comment>
    <comment ref="O22" authorId="3">
      <text>
        <r>
          <rPr>
            <b/>
            <sz val="18"/>
            <rFont val="ＭＳ Ｐゴシック"/>
            <family val="3"/>
          </rPr>
          <t>地震力Ci</t>
        </r>
      </text>
    </comment>
    <comment ref="O23" authorId="3">
      <text>
        <r>
          <rPr>
            <b/>
            <sz val="18"/>
            <rFont val="ＭＳ Ｐゴシック"/>
            <family val="3"/>
          </rPr>
          <t>CB比重(kN/㎥)</t>
        </r>
      </text>
    </comment>
  </commentList>
</comments>
</file>

<file path=xl/comments2.xml><?xml version="1.0" encoding="utf-8"?>
<comments xmlns="http://schemas.openxmlformats.org/spreadsheetml/2006/main">
  <authors>
    <author>建築本部　建築部　設計室</author>
    <author>AKIRA OTA</author>
    <author>エスパス建築事務所</author>
    <author>太田　彰</author>
  </authors>
  <commentList>
    <comment ref="C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D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E47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C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D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E52" authorId="0">
      <text>
        <r>
          <rPr>
            <b/>
            <sz val="10"/>
            <rFont val="ＭＳ Ｐゴシック"/>
            <family val="3"/>
          </rPr>
          <t>数値のみ入力</t>
        </r>
      </text>
    </comment>
    <comment ref="C2" authorId="1">
      <text>
        <r>
          <rPr>
            <b/>
            <sz val="11"/>
            <rFont val="ＭＳ Ｐゴシック"/>
            <family val="3"/>
          </rPr>
          <t>コメント</t>
        </r>
      </text>
    </comment>
    <comment ref="N1" authorId="2">
      <text>
        <r>
          <rPr>
            <b/>
            <sz val="11"/>
            <rFont val="ＭＳ Ｐゴシック"/>
            <family val="3"/>
          </rPr>
          <t>PAGE</t>
        </r>
      </text>
    </comment>
    <comment ref="O2" authorId="0">
      <text>
        <r>
          <rPr>
            <b/>
            <sz val="11"/>
            <rFont val="ＭＳ Ｐゴシック"/>
            <family val="3"/>
          </rPr>
          <t>サブ符号</t>
        </r>
      </text>
    </comment>
    <comment ref="F4" authorId="0">
      <text>
        <r>
          <rPr>
            <b/>
            <sz val="10"/>
            <rFont val="ＭＳ Ｐゴシック"/>
            <family val="3"/>
          </rPr>
          <t>選択して下さい</t>
        </r>
      </text>
    </comment>
    <comment ref="O22" authorId="3">
      <text>
        <r>
          <rPr>
            <b/>
            <sz val="16"/>
            <rFont val="ＭＳ Ｐゴシック"/>
            <family val="3"/>
          </rPr>
          <t>Ci</t>
        </r>
      </text>
    </comment>
  </commentList>
</comments>
</file>

<file path=xl/sharedStrings.xml><?xml version="1.0" encoding="utf-8"?>
<sst xmlns="http://schemas.openxmlformats.org/spreadsheetml/2006/main" count="289" uniqueCount="181">
  <si>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</si>
  <si>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</si>
  <si>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fs =</t>
  </si>
  <si>
    <t>自由</t>
  </si>
  <si>
    <t>ピン</t>
  </si>
  <si>
    <t>固定</t>
  </si>
  <si>
    <t>配力筋比   =</t>
  </si>
  <si>
    <t>(mm)</t>
  </si>
  <si>
    <t>d =</t>
  </si>
  <si>
    <t>j =</t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</si>
  <si>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</si>
  <si>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縦筋　</t>
  </si>
  <si>
    <t>横筋　</t>
  </si>
  <si>
    <r>
      <t>(kN/m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</si>
  <si>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検定比</t>
  </si>
  <si>
    <t>(mm)</t>
  </si>
  <si>
    <t>(mm)</t>
  </si>
  <si>
    <t>t =</t>
  </si>
  <si>
    <t>ft =</t>
  </si>
  <si>
    <r>
      <t>σt</t>
    </r>
    <r>
      <rPr>
        <sz val="11"/>
        <rFont val="ＭＳ Ｐゴシック"/>
        <family val="3"/>
      </rPr>
      <t xml:space="preserve"> =</t>
    </r>
  </si>
  <si>
    <t>at =</t>
  </si>
  <si>
    <t>=</t>
  </si>
  <si>
    <r>
      <t>(mm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/m)</t>
    </r>
  </si>
  <si>
    <t>τ =</t>
  </si>
  <si>
    <t>(kN/m)</t>
  </si>
  <si>
    <t>短期</t>
  </si>
  <si>
    <r>
      <t>R</t>
    </r>
    <r>
      <rPr>
        <sz val="11"/>
        <rFont val="ＭＳ Ｐゴシック"/>
        <family val="3"/>
      </rPr>
      <t>C</t>
    </r>
  </si>
  <si>
    <t>基礎</t>
  </si>
  <si>
    <t>(RC部分を除く高さ)</t>
  </si>
  <si>
    <r>
      <t>P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→</t>
    </r>
  </si>
  <si>
    <t>(kN・m/m)</t>
  </si>
  <si>
    <t>神戸市</t>
  </si>
  <si>
    <t>相生市</t>
  </si>
  <si>
    <t>明石市</t>
  </si>
  <si>
    <t>赤穂市</t>
  </si>
  <si>
    <t>芦屋市</t>
  </si>
  <si>
    <t>尼崎市</t>
  </si>
  <si>
    <t>伊丹市</t>
  </si>
  <si>
    <t>小野市</t>
  </si>
  <si>
    <t>加古川市</t>
  </si>
  <si>
    <t>加西市</t>
  </si>
  <si>
    <t>川西市</t>
  </si>
  <si>
    <t>三田市</t>
  </si>
  <si>
    <t>篠山市</t>
  </si>
  <si>
    <t>洲本市</t>
  </si>
  <si>
    <t>高砂市</t>
  </si>
  <si>
    <t>宝塚市</t>
  </si>
  <si>
    <t>龍野市</t>
  </si>
  <si>
    <t>豊岡市</t>
  </si>
  <si>
    <t>西宮市</t>
  </si>
  <si>
    <t>西脇市</t>
  </si>
  <si>
    <t>姫路市</t>
  </si>
  <si>
    <t>三木市</t>
  </si>
  <si>
    <t>赤穂郡</t>
  </si>
  <si>
    <t>朝来郡</t>
  </si>
  <si>
    <t>出石郡</t>
  </si>
  <si>
    <t>揖保郡</t>
  </si>
  <si>
    <t>加東郡</t>
  </si>
  <si>
    <t>川辺郡</t>
  </si>
  <si>
    <t>神崎郡</t>
  </si>
  <si>
    <t>城崎郡</t>
  </si>
  <si>
    <t>佐用郡</t>
  </si>
  <si>
    <t>飾磨郡</t>
  </si>
  <si>
    <t>宍粟郡</t>
  </si>
  <si>
    <t>多可郡</t>
  </si>
  <si>
    <t>津名郡</t>
  </si>
  <si>
    <t>氷上郡</t>
  </si>
  <si>
    <t>美方郡</t>
  </si>
  <si>
    <t>美蓑郡</t>
  </si>
  <si>
    <t>三原郡</t>
  </si>
  <si>
    <t>養父郡</t>
  </si>
  <si>
    <t>(地震時、風圧時の検討)</t>
  </si>
  <si>
    <t>基準風速</t>
  </si>
  <si>
    <r>
      <t>(m/s</t>
    </r>
    <r>
      <rPr>
        <sz val="10"/>
        <rFont val="ＭＳ Ｐゴシック"/>
        <family val="3"/>
      </rPr>
      <t>)</t>
    </r>
  </si>
  <si>
    <t>地表面粗度区分</t>
  </si>
  <si>
    <t>Ⅲ</t>
  </si>
  <si>
    <r>
      <t>α</t>
    </r>
    <r>
      <rPr>
        <sz val="12"/>
        <rFont val="ＭＳ Ｐゴシック"/>
        <family val="3"/>
      </rPr>
      <t xml:space="preserve"> =</t>
    </r>
  </si>
  <si>
    <t>Gf =</t>
  </si>
  <si>
    <t>q  =</t>
  </si>
  <si>
    <r>
      <t>(N/m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</si>
  <si>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kz =</t>
  </si>
  <si>
    <t>Cpe =</t>
  </si>
  <si>
    <t>Cpi  =</t>
  </si>
  <si>
    <t>Ⅰ</t>
  </si>
  <si>
    <t>Ⅱ</t>
  </si>
  <si>
    <t>Ⅲ</t>
  </si>
  <si>
    <t>Ⅳ</t>
  </si>
  <si>
    <t>Cf =</t>
  </si>
  <si>
    <t>風圧</t>
  </si>
  <si>
    <t>地震</t>
  </si>
  <si>
    <r>
      <t>H</t>
    </r>
    <r>
      <rPr>
        <sz val="11"/>
        <rFont val="ＭＳ Ｐゴシック"/>
        <family val="3"/>
      </rPr>
      <t xml:space="preserve"> =</t>
    </r>
  </si>
  <si>
    <r>
      <t>W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 xml:space="preserve"> =</t>
    </r>
  </si>
  <si>
    <r>
      <t>(kN/m</t>
    </r>
    <r>
      <rPr>
        <sz val="10"/>
        <rFont val="ＭＳ Ｐゴシック"/>
        <family val="3"/>
      </rPr>
      <t>)</t>
    </r>
  </si>
  <si>
    <r>
      <t>M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 xml:space="preserve"> =</t>
    </r>
    <r>
      <rPr>
        <sz val="11"/>
        <rFont val="ＭＳ Ｐゴシック"/>
        <family val="3"/>
      </rPr>
      <t xml:space="preserve"> </t>
    </r>
  </si>
  <si>
    <t>e =</t>
  </si>
  <si>
    <r>
      <t>e</t>
    </r>
    <r>
      <rPr>
        <sz val="11"/>
        <rFont val="ＭＳ Ｐゴシック"/>
        <family val="3"/>
      </rPr>
      <t>/L</t>
    </r>
    <r>
      <rPr>
        <sz val="11"/>
        <rFont val="ＭＳ Ｐゴシック"/>
        <family val="3"/>
      </rPr>
      <t xml:space="preserve"> =</t>
    </r>
  </si>
  <si>
    <t>曲げ応力に対する検討</t>
  </si>
  <si>
    <t>せん断応力に対する検討</t>
  </si>
  <si>
    <t>地盤面</t>
  </si>
  <si>
    <t>P =</t>
  </si>
  <si>
    <t>滑動に対する検討</t>
  </si>
  <si>
    <r>
      <t>σe</t>
    </r>
    <r>
      <rPr>
        <sz val="11"/>
        <rFont val="ＭＳ Ｐゴシック"/>
        <family val="3"/>
      </rPr>
      <t xml:space="preserve"> =</t>
    </r>
  </si>
  <si>
    <r>
      <t>転倒(接地圧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に対する検討</t>
    </r>
  </si>
  <si>
    <t>加古郡</t>
  </si>
  <si>
    <t>・</t>
  </si>
  <si>
    <t>滑動</t>
  </si>
  <si>
    <t>転倒</t>
  </si>
  <si>
    <t>接地圧</t>
  </si>
  <si>
    <t>曲げ</t>
  </si>
  <si>
    <t>せん断</t>
  </si>
  <si>
    <t>検定比</t>
  </si>
  <si>
    <t>土</t>
  </si>
  <si>
    <t>軽量</t>
  </si>
  <si>
    <t>重量</t>
  </si>
  <si>
    <t>ブロック種別</t>
  </si>
  <si>
    <t>A種</t>
  </si>
  <si>
    <t>B種</t>
  </si>
  <si>
    <t>C種</t>
  </si>
  <si>
    <r>
      <t>W</t>
    </r>
    <r>
      <rPr>
        <vertAlign val="subscript"/>
        <sz val="11"/>
        <rFont val="ＭＳ Ｐゴシック"/>
        <family val="3"/>
      </rPr>
      <t>CB</t>
    </r>
    <r>
      <rPr>
        <sz val="11"/>
        <rFont val="ＭＳ Ｐゴシック"/>
        <family val="3"/>
      </rPr>
      <t xml:space="preserve"> =</t>
    </r>
  </si>
  <si>
    <r>
      <t>(kN/m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</si>
  <si>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(m)</t>
  </si>
  <si>
    <t>→　短期設計用地耐力との比較検討必要</t>
  </si>
  <si>
    <r>
      <t>W</t>
    </r>
    <r>
      <rPr>
        <vertAlign val="subscript"/>
        <sz val="11"/>
        <rFont val="ＭＳ Ｐゴシック"/>
        <family val="3"/>
      </rPr>
      <t>RC</t>
    </r>
    <r>
      <rPr>
        <sz val="11"/>
        <rFont val="ＭＳ Ｐゴシック"/>
        <family val="3"/>
      </rPr>
      <t xml:space="preserve"> =</t>
    </r>
  </si>
  <si>
    <r>
      <t>(m/s</t>
    </r>
    <r>
      <rPr>
        <sz val="10"/>
        <rFont val="ＭＳ Ｐゴシック"/>
        <family val="3"/>
      </rPr>
      <t>)</t>
    </r>
  </si>
  <si>
    <r>
      <t>P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→</t>
    </r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</si>
  <si>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</si>
  <si>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ピン</t>
  </si>
  <si>
    <t>fs =</t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</si>
  <si>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</si>
  <si>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(mm)</t>
  </si>
  <si>
    <t>Cf =</t>
  </si>
  <si>
    <t>Ⅰ</t>
  </si>
  <si>
    <t>P =</t>
  </si>
  <si>
    <r>
      <t>(N/m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</si>
  <si>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Gf =</t>
  </si>
  <si>
    <t>Ⅱ</t>
  </si>
  <si>
    <t>(kN・m/m)</t>
  </si>
  <si>
    <r>
      <t>α</t>
    </r>
    <r>
      <rPr>
        <sz val="12"/>
        <rFont val="ＭＳ Ｐゴシック"/>
        <family val="3"/>
      </rPr>
      <t xml:space="preserve"> =</t>
    </r>
  </si>
  <si>
    <t>Ⅲ</t>
  </si>
  <si>
    <t>(kN/m)</t>
  </si>
  <si>
    <t>(mm)</t>
  </si>
  <si>
    <t>Ⅳ</t>
  </si>
  <si>
    <t>kz =</t>
  </si>
  <si>
    <t>Cpe =</t>
  </si>
  <si>
    <t>Cpi  =</t>
  </si>
  <si>
    <t>(kN・m/m)</t>
  </si>
  <si>
    <r>
      <t>(kN/m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</si>
  <si>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W</t>
    </r>
    <r>
      <rPr>
        <vertAlign val="subscript"/>
        <sz val="11"/>
        <rFont val="ＭＳ Ｐゴシック"/>
        <family val="3"/>
      </rPr>
      <t>RC</t>
    </r>
    <r>
      <rPr>
        <sz val="11"/>
        <rFont val="ＭＳ Ｐゴシック"/>
        <family val="3"/>
      </rPr>
      <t xml:space="preserve"> =</t>
    </r>
  </si>
  <si>
    <t>t =</t>
  </si>
  <si>
    <t>(mm)</t>
  </si>
  <si>
    <t>d =</t>
  </si>
  <si>
    <t>(mm)</t>
  </si>
  <si>
    <t>j =</t>
  </si>
  <si>
    <t>(mm)</t>
  </si>
  <si>
    <t>B種</t>
  </si>
  <si>
    <r>
      <t>W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 xml:space="preserve"> =</t>
    </r>
  </si>
  <si>
    <r>
      <t>(kN/m</t>
    </r>
    <r>
      <rPr>
        <sz val="10"/>
        <rFont val="ＭＳ Ｐゴシック"/>
        <family val="3"/>
      </rPr>
      <t>)</t>
    </r>
  </si>
  <si>
    <r>
      <t>M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 xml:space="preserve"> =</t>
    </r>
    <r>
      <rPr>
        <sz val="11"/>
        <rFont val="ＭＳ Ｐゴシック"/>
        <family val="3"/>
      </rPr>
      <t xml:space="preserve"> </t>
    </r>
  </si>
  <si>
    <t>e =</t>
  </si>
  <si>
    <t>(m)</t>
  </si>
  <si>
    <r>
      <t>σt</t>
    </r>
    <r>
      <rPr>
        <sz val="11"/>
        <rFont val="ＭＳ Ｐゴシック"/>
        <family val="3"/>
      </rPr>
      <t xml:space="preserve"> =</t>
    </r>
  </si>
  <si>
    <r>
      <t>e</t>
    </r>
    <r>
      <rPr>
        <sz val="11"/>
        <rFont val="ＭＳ Ｐゴシック"/>
        <family val="3"/>
      </rPr>
      <t>/L</t>
    </r>
    <r>
      <rPr>
        <sz val="11"/>
        <rFont val="ＭＳ Ｐゴシック"/>
        <family val="3"/>
      </rPr>
      <t xml:space="preserve"> =</t>
    </r>
  </si>
  <si>
    <t>at =</t>
  </si>
  <si>
    <t>ft =</t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</si>
  <si>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</si>
  <si>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=</t>
  </si>
  <si>
    <r>
      <t>(mm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/m)</t>
    </r>
  </si>
  <si>
    <t>τ =</t>
  </si>
  <si>
    <t>=</t>
  </si>
  <si>
    <r>
      <t>(N/mm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</si>
  <si>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W</t>
    </r>
    <r>
      <rPr>
        <vertAlign val="subscript"/>
        <sz val="11"/>
        <color indexed="9"/>
        <rFont val="ＭＳ Ｐゴシック"/>
        <family val="3"/>
      </rPr>
      <t>CB</t>
    </r>
    <r>
      <rPr>
        <sz val="11"/>
        <color indexed="9"/>
        <rFont val="ＭＳ Ｐゴシック"/>
        <family val="3"/>
      </rPr>
      <t xml:space="preserve"> =</t>
    </r>
  </si>
  <si>
    <r>
      <t>(kN/m</t>
    </r>
    <r>
      <rPr>
        <vertAlign val="superscript"/>
        <sz val="10"/>
        <color indexed="9"/>
        <rFont val="ＭＳ Ｐゴシック"/>
        <family val="3"/>
      </rPr>
      <t>2</t>
    </r>
    <r>
      <rPr>
        <sz val="10"/>
        <color indexed="9"/>
        <rFont val="ＭＳ Ｐゴシック"/>
        <family val="3"/>
      </rPr>
      <t>)</t>
    </r>
  </si>
  <si>
    <r>
      <t>D</t>
    </r>
    <r>
      <rPr>
        <sz val="11"/>
        <rFont val="ＭＳ Ｐゴシック"/>
        <family val="3"/>
      </rPr>
      <t>f考慮する</t>
    </r>
  </si>
  <si>
    <r>
      <t>D</t>
    </r>
    <r>
      <rPr>
        <sz val="11"/>
        <rFont val="ＭＳ Ｐゴシック"/>
        <family val="3"/>
      </rPr>
      <t>f考慮しない</t>
    </r>
  </si>
  <si>
    <t>加古川市</t>
  </si>
  <si>
    <t>Df考慮する</t>
  </si>
  <si>
    <t>令62条の8
H12告示1355</t>
  </si>
  <si>
    <r>
      <t>H12告示1</t>
    </r>
    <r>
      <rPr>
        <sz val="11"/>
        <rFont val="ＭＳ Ｐゴシック"/>
        <family val="3"/>
      </rPr>
      <t>355に準ずる</t>
    </r>
  </si>
  <si>
    <t>短期設計用地耐力</t>
  </si>
  <si>
    <t>軽量</t>
  </si>
  <si>
    <t>A種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</si>
</sst>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_ ;[Red]\-#,##0\ "/>
    <numFmt numFmtId="179" formatCode="#,##0.000_ ;[Red]\-#,##0.000\ "/>
    <numFmt numFmtId="180" formatCode="&quot;D&quot;#,##0_ ;[Red]\-#,##0\ "/>
    <numFmt numFmtId="181" formatCode="&quot;- D&quot;#,##0_ ;[Red]\-#,##0\ "/>
    <numFmt numFmtId="182" formatCode="&quot;fs = &quot;#,##0.0_ ;[Red]\-#,##0.0\ "/>
    <numFmt numFmtId="183" formatCode="#,##0.0_ "/>
    <numFmt numFmtId="184" formatCode="#,##0.00_ "/>
    <numFmt numFmtId="185" formatCode="0_ ;[Red]\-0\ "/>
    <numFmt numFmtId="186" formatCode="&quot;- @&quot;#,##0_ ;[Red]\-#,##0\ "/>
    <numFmt numFmtId="187" formatCode="&quot;Fc &quot;#,##0_ ;[Red]\-#,##0\ "/>
    <numFmt numFmtId="188" formatCode="#,##0&quot; -&quot;_ ;[Red]\-#,##0\ "/>
    <numFmt numFmtId="189" formatCode="&quot;/ &quot;#,##0_ ;[Red]\-#,##0\ "/>
    <numFmt numFmtId="190" formatCode="&quot;ft = &quot;#,##0_ ;[Red]\-#,##0\ "/>
    <numFmt numFmtId="191" formatCode="&quot;( &quot;#,##0.00&quot; )&quot;_ ;[Red]\-&quot;( &quot;#,##0.00&quot; )&quot;\ "/>
    <numFmt numFmtId="192" formatCode="&quot;P. &quot;#,##0_ ;[Red]\-#,##0\ "/>
    <numFmt numFmtId="193" formatCode="#,##0.00&quot;     =&quot;_ ;[Red]\-#,##0.00\ "/>
    <numFmt numFmtId="194" formatCode="&quot;@&quot;#,##0_ ;[Red]\-#,##0\ "/>
    <numFmt numFmtId="195" formatCode="&quot;(@&quot;#,##0&quot;)&quot;_ ;[Red]\-#,##0\ "/>
    <numFmt numFmtId="196" formatCode="#,##0.00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vertAlign val="superscript"/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b/>
      <u val="doubleAccounting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color indexed="39"/>
      <name val="ＭＳ Ｐゴシック"/>
      <family val="3"/>
    </font>
    <font>
      <u val="single"/>
      <sz val="14"/>
      <color indexed="17"/>
      <name val="ＭＳ Ｐゴシック"/>
      <family val="3"/>
    </font>
    <font>
      <sz val="10"/>
      <color indexed="17"/>
      <name val="ＭＳ 明朝"/>
      <family val="1"/>
    </font>
    <font>
      <vertAlign val="subscript"/>
      <sz val="11"/>
      <name val="ＭＳ Ｐゴシック"/>
      <family val="3"/>
    </font>
    <font>
      <b/>
      <u val="double"/>
      <sz val="12"/>
      <name val="ＭＳ Ｐゴシック"/>
      <family val="3"/>
    </font>
    <font>
      <u val="double"/>
      <sz val="11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vertAlign val="superscript"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14"/>
      <name val="ＭＳ Ｐゴシック"/>
      <family val="3"/>
    </font>
    <font>
      <b/>
      <sz val="2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176" fontId="6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center" vertical="center"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63">
      <alignment/>
      <protection/>
    </xf>
    <xf numFmtId="0" fontId="0" fillId="0" borderId="0" xfId="63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0" fillId="0" borderId="0" xfId="63" applyFont="1" applyAlignment="1">
      <alignment horizontal="right"/>
      <protection/>
    </xf>
    <xf numFmtId="182" fontId="3" fillId="0" borderId="0" xfId="63" applyNumberFormat="1" applyFont="1" applyAlignment="1">
      <alignment horizontal="left"/>
      <protection/>
    </xf>
    <xf numFmtId="0" fontId="0" fillId="0" borderId="10" xfId="63" applyBorder="1">
      <alignment/>
      <protection/>
    </xf>
    <xf numFmtId="0" fontId="0" fillId="0" borderId="11" xfId="63" applyBorder="1">
      <alignment/>
      <protection/>
    </xf>
    <xf numFmtId="177" fontId="0" fillId="0" borderId="0" xfId="63" applyNumberFormat="1" applyFont="1" applyAlignment="1">
      <alignment horizontal="center"/>
      <protection/>
    </xf>
    <xf numFmtId="0" fontId="0" fillId="0" borderId="0" xfId="63" applyBorder="1" applyAlignment="1">
      <alignment/>
      <protection/>
    </xf>
    <xf numFmtId="0" fontId="0" fillId="0" borderId="0" xfId="63" applyBorder="1" applyAlignment="1">
      <alignment horizontal="center"/>
      <protection/>
    </xf>
    <xf numFmtId="0" fontId="0" fillId="0" borderId="0" xfId="63" applyBorder="1">
      <alignment/>
      <protection/>
    </xf>
    <xf numFmtId="0" fontId="0" fillId="0" borderId="0" xfId="63" applyFont="1" applyAlignment="1">
      <alignment horizontal="center"/>
      <protection/>
    </xf>
    <xf numFmtId="178" fontId="3" fillId="0" borderId="0" xfId="63" applyNumberFormat="1" applyFont="1" applyBorder="1" applyAlignment="1" applyProtection="1">
      <alignment horizontal="right"/>
      <protection/>
    </xf>
    <xf numFmtId="0" fontId="3" fillId="0" borderId="0" xfId="63" applyFont="1" applyAlignment="1" quotePrefix="1">
      <alignment horizontal="left"/>
      <protection/>
    </xf>
    <xf numFmtId="0" fontId="0" fillId="0" borderId="0" xfId="63" applyFont="1" applyAlignment="1">
      <alignment horizontal="left"/>
      <protection/>
    </xf>
    <xf numFmtId="0" fontId="0" fillId="0" borderId="0" xfId="63" applyBorder="1" applyAlignment="1">
      <alignment horizontal="right"/>
      <protection/>
    </xf>
    <xf numFmtId="0" fontId="6" fillId="0" borderId="0" xfId="63" applyFont="1" applyBorder="1" applyAlignment="1">
      <alignment horizontal="center"/>
      <protection/>
    </xf>
    <xf numFmtId="178" fontId="0" fillId="0" borderId="0" xfId="63" applyNumberFormat="1" applyAlignment="1">
      <alignment horizontal="center"/>
      <protection/>
    </xf>
    <xf numFmtId="177" fontId="0" fillId="0" borderId="0" xfId="63" applyNumberFormat="1" applyAlignment="1">
      <alignment horizontal="center"/>
      <protection/>
    </xf>
    <xf numFmtId="0" fontId="3" fillId="0" borderId="0" xfId="63" applyFont="1" applyBorder="1" applyAlignment="1">
      <alignment horizontal="left"/>
      <protection/>
    </xf>
    <xf numFmtId="0" fontId="3" fillId="0" borderId="0" xfId="63" applyFont="1" applyAlignment="1">
      <alignment horizontal="right"/>
      <protection/>
    </xf>
    <xf numFmtId="0" fontId="0" fillId="0" borderId="12" xfId="63" applyBorder="1">
      <alignment/>
      <protection/>
    </xf>
    <xf numFmtId="178" fontId="0" fillId="0" borderId="0" xfId="63" applyNumberFormat="1" applyFont="1" applyAlignment="1" quotePrefix="1">
      <alignment horizontal="center"/>
      <protection/>
    </xf>
    <xf numFmtId="0" fontId="0" fillId="0" borderId="0" xfId="63" applyAlignment="1">
      <alignment horizontal="left"/>
      <protection/>
    </xf>
    <xf numFmtId="179" fontId="0" fillId="0" borderId="0" xfId="63" applyNumberFormat="1" applyFont="1" applyAlignment="1">
      <alignment horizontal="center"/>
      <protection/>
    </xf>
    <xf numFmtId="178" fontId="0" fillId="0" borderId="0" xfId="63" applyNumberFormat="1" applyFont="1" applyAlignment="1">
      <alignment horizontal="center"/>
      <protection/>
    </xf>
    <xf numFmtId="176" fontId="0" fillId="0" borderId="0" xfId="63" applyNumberFormat="1">
      <alignment/>
      <protection/>
    </xf>
    <xf numFmtId="176" fontId="0" fillId="0" borderId="0" xfId="63" applyNumberFormat="1" applyAlignment="1">
      <alignment horizontal="center"/>
      <protection/>
    </xf>
    <xf numFmtId="0" fontId="7" fillId="0" borderId="0" xfId="63" applyFont="1">
      <alignment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Border="1" applyAlignment="1">
      <alignment horizontal="right"/>
      <protection/>
    </xf>
    <xf numFmtId="176" fontId="0" fillId="0" borderId="0" xfId="63" applyNumberFormat="1" applyFont="1" applyBorder="1" applyAlignment="1">
      <alignment horizontal="center"/>
      <protection/>
    </xf>
    <xf numFmtId="176" fontId="0" fillId="0" borderId="13" xfId="63" applyNumberFormat="1" applyBorder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3" applyFont="1" applyAlignment="1">
      <alignment horizontal="right" shrinkToFit="1"/>
      <protection/>
    </xf>
    <xf numFmtId="177" fontId="0" fillId="0" borderId="0" xfId="63" applyNumberFormat="1" applyAlignment="1">
      <alignment horizontal="center" shrinkToFit="1"/>
      <protection/>
    </xf>
    <xf numFmtId="0" fontId="0" fillId="0" borderId="0" xfId="63" applyFont="1" applyAlignment="1">
      <alignment horizontal="left" shrinkToFit="1"/>
      <protection/>
    </xf>
    <xf numFmtId="178" fontId="0" fillId="0" borderId="0" xfId="63" applyNumberFormat="1" applyFont="1" applyBorder="1" applyAlignment="1" applyProtection="1">
      <alignment horizontal="right" vertical="center"/>
      <protection/>
    </xf>
    <xf numFmtId="0" fontId="7" fillId="0" borderId="0" xfId="62" applyFont="1" applyAlignment="1">
      <alignment horizontal="right"/>
      <protection/>
    </xf>
    <xf numFmtId="177" fontId="0" fillId="0" borderId="0" xfId="63" applyNumberFormat="1" applyFont="1" applyBorder="1" applyAlignment="1">
      <alignment horizontal="center"/>
      <protection/>
    </xf>
    <xf numFmtId="0" fontId="0" fillId="0" borderId="0" xfId="63" applyFont="1" applyAlignment="1">
      <alignment horizontal="center" shrinkToFit="1"/>
      <protection/>
    </xf>
    <xf numFmtId="191" fontId="0" fillId="0" borderId="0" xfId="62" applyNumberFormat="1" applyAlignment="1">
      <alignment horizontal="center" shrinkToFit="1"/>
      <protection/>
    </xf>
    <xf numFmtId="0" fontId="2" fillId="0" borderId="0" xfId="63" applyFont="1" applyProtection="1">
      <alignment/>
      <protection locked="0"/>
    </xf>
    <xf numFmtId="192" fontId="2" fillId="0" borderId="0" xfId="0" applyNumberFormat="1" applyFont="1" applyAlignment="1" applyProtection="1">
      <alignment horizontal="center" shrinkToFit="1"/>
      <protection locked="0"/>
    </xf>
    <xf numFmtId="0" fontId="16" fillId="0" borderId="0" xfId="63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63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178" fontId="4" fillId="0" borderId="0" xfId="63" applyNumberFormat="1" applyFont="1" applyBorder="1" applyAlignment="1" applyProtection="1">
      <alignment horizontal="right" shrinkToFit="1"/>
      <protection locked="0"/>
    </xf>
    <xf numFmtId="0" fontId="0" fillId="0" borderId="0" xfId="63" applyBorder="1" applyAlignment="1">
      <alignment horizontal="left"/>
      <protection/>
    </xf>
    <xf numFmtId="0" fontId="0" fillId="0" borderId="10" xfId="63" applyBorder="1" applyAlignment="1">
      <alignment horizontal="right"/>
      <protection/>
    </xf>
    <xf numFmtId="178" fontId="3" fillId="0" borderId="0" xfId="63" applyNumberFormat="1" applyFont="1" applyBorder="1" applyAlignment="1" quotePrefix="1">
      <alignment horizontal="right"/>
      <protection/>
    </xf>
    <xf numFmtId="179" fontId="0" fillId="0" borderId="0" xfId="63" applyNumberFormat="1" applyAlignment="1">
      <alignment horizontal="center"/>
      <protection/>
    </xf>
    <xf numFmtId="0" fontId="0" fillId="0" borderId="0" xfId="63" applyAlignment="1">
      <alignment horizontal="right" shrinkToFit="1"/>
      <protection/>
    </xf>
    <xf numFmtId="176" fontId="0" fillId="0" borderId="0" xfId="64" applyFont="1">
      <alignment horizontal="center" vertical="center"/>
      <protection/>
    </xf>
    <xf numFmtId="0" fontId="0" fillId="0" borderId="0" xfId="63" applyFont="1" applyAlignment="1" quotePrefix="1">
      <alignment horizontal="right"/>
      <protection/>
    </xf>
    <xf numFmtId="176" fontId="0" fillId="0" borderId="0" xfId="63" applyNumberFormat="1" applyAlignment="1">
      <alignment horizontal="center" shrinkToFit="1"/>
      <protection/>
    </xf>
    <xf numFmtId="0" fontId="3" fillId="0" borderId="0" xfId="62" applyFont="1" applyAlignment="1">
      <alignment horizontal="center" shrinkToFit="1"/>
      <protection/>
    </xf>
    <xf numFmtId="0" fontId="0" fillId="0" borderId="14" xfId="63" applyFont="1" applyBorder="1" applyAlignment="1">
      <alignment horizontal="center"/>
      <protection/>
    </xf>
    <xf numFmtId="180" fontId="9" fillId="0" borderId="14" xfId="63" applyNumberFormat="1" applyFont="1" applyBorder="1" applyAlignment="1" applyProtection="1">
      <alignment horizontal="right"/>
      <protection locked="0"/>
    </xf>
    <xf numFmtId="180" fontId="9" fillId="0" borderId="14" xfId="63" applyNumberFormat="1" applyFont="1" applyBorder="1" applyAlignment="1" applyProtection="1">
      <alignment horizontal="center"/>
      <protection locked="0"/>
    </xf>
    <xf numFmtId="186" fontId="9" fillId="0" borderId="14" xfId="63" applyNumberFormat="1" applyFont="1" applyBorder="1" applyAlignment="1" applyProtection="1">
      <alignment horizontal="center" shrinkToFit="1"/>
      <protection locked="0"/>
    </xf>
    <xf numFmtId="178" fontId="0" fillId="0" borderId="0" xfId="63" applyNumberFormat="1" applyBorder="1" applyAlignment="1">
      <alignment horizontal="center" shrinkToFit="1"/>
      <protection/>
    </xf>
    <xf numFmtId="178" fontId="0" fillId="0" borderId="13" xfId="63" applyNumberFormat="1" applyBorder="1" applyAlignment="1">
      <alignment horizontal="center" shrinkToFit="1"/>
      <protection/>
    </xf>
    <xf numFmtId="0" fontId="0" fillId="0" borderId="15" xfId="63" applyFont="1" applyBorder="1" applyAlignment="1" applyProtection="1">
      <alignment horizontal="center"/>
      <protection/>
    </xf>
    <xf numFmtId="180" fontId="9" fillId="0" borderId="0" xfId="63" applyNumberFormat="1" applyFont="1" applyBorder="1" applyAlignment="1" applyProtection="1">
      <alignment horizontal="center"/>
      <protection/>
    </xf>
    <xf numFmtId="0" fontId="7" fillId="0" borderId="0" xfId="62" applyFont="1" applyAlignment="1">
      <alignment horizontal="center"/>
      <protection/>
    </xf>
    <xf numFmtId="0" fontId="0" fillId="0" borderId="0" xfId="63" applyBorder="1" applyProtection="1">
      <alignment/>
      <protection/>
    </xf>
    <xf numFmtId="0" fontId="8" fillId="0" borderId="0" xfId="63" applyFont="1" applyBorder="1" applyAlignment="1" applyProtection="1">
      <alignment horizontal="center"/>
      <protection/>
    </xf>
    <xf numFmtId="191" fontId="0" fillId="0" borderId="0" xfId="62" applyNumberFormat="1" applyBorder="1" applyAlignment="1" applyProtection="1">
      <alignment horizontal="center" shrinkToFit="1"/>
      <protection/>
    </xf>
    <xf numFmtId="0" fontId="0" fillId="0" borderId="0" xfId="63" applyBorder="1" applyAlignment="1" applyProtection="1">
      <alignment horizontal="left"/>
      <protection/>
    </xf>
    <xf numFmtId="0" fontId="0" fillId="0" borderId="0" xfId="63" applyBorder="1" applyAlignment="1" applyProtection="1">
      <alignment horizontal="center"/>
      <protection/>
    </xf>
    <xf numFmtId="178" fontId="0" fillId="0" borderId="0" xfId="63" applyNumberFormat="1" applyBorder="1" applyAlignment="1" applyProtection="1">
      <alignment horizontal="center" shrinkToFit="1"/>
      <protection/>
    </xf>
    <xf numFmtId="178" fontId="0" fillId="0" borderId="13" xfId="63" applyNumberFormat="1" applyBorder="1" applyAlignment="1" applyProtection="1">
      <alignment horizontal="center" shrinkToFit="1"/>
      <protection/>
    </xf>
    <xf numFmtId="176" fontId="0" fillId="0" borderId="0" xfId="63" applyNumberFormat="1" applyFont="1" applyBorder="1" applyAlignment="1" applyProtection="1">
      <alignment horizontal="center"/>
      <protection/>
    </xf>
    <xf numFmtId="176" fontId="0" fillId="0" borderId="13" xfId="63" applyNumberFormat="1" applyBorder="1" applyAlignment="1" applyProtection="1">
      <alignment horizontal="center"/>
      <protection/>
    </xf>
    <xf numFmtId="0" fontId="0" fillId="0" borderId="0" xfId="63" applyProtection="1">
      <alignment/>
      <protection/>
    </xf>
    <xf numFmtId="0" fontId="8" fillId="0" borderId="0" xfId="63" applyFont="1" applyAlignment="1" applyProtection="1">
      <alignment horizontal="center"/>
      <protection/>
    </xf>
    <xf numFmtId="191" fontId="0" fillId="0" borderId="0" xfId="62" applyNumberFormat="1" applyAlignment="1" applyProtection="1">
      <alignment horizontal="center" shrinkToFit="1"/>
      <protection/>
    </xf>
    <xf numFmtId="0" fontId="0" fillId="0" borderId="0" xfId="63" applyAlignment="1" applyProtection="1">
      <alignment horizontal="left"/>
      <protection/>
    </xf>
    <xf numFmtId="0" fontId="0" fillId="0" borderId="0" xfId="63" applyAlignment="1" applyProtection="1">
      <alignment horizont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3" applyFont="1" applyBorder="1" applyAlignment="1">
      <alignment horizontal="center"/>
      <protection/>
    </xf>
    <xf numFmtId="0" fontId="0" fillId="0" borderId="16" xfId="63" applyBorder="1">
      <alignment/>
      <protection/>
    </xf>
    <xf numFmtId="0" fontId="0" fillId="0" borderId="17" xfId="63" applyBorder="1" applyAlignment="1">
      <alignment horizontal="center"/>
      <protection/>
    </xf>
    <xf numFmtId="0" fontId="0" fillId="0" borderId="12" xfId="63" applyBorder="1" applyAlignment="1">
      <alignment horizontal="right"/>
      <protection/>
    </xf>
    <xf numFmtId="0" fontId="2" fillId="0" borderId="0" xfId="63" applyFont="1" applyAlignment="1" applyProtection="1">
      <alignment horizontal="center" vertical="center" shrinkToFit="1"/>
      <protection locked="0"/>
    </xf>
    <xf numFmtId="0" fontId="3" fillId="0" borderId="0" xfId="63" applyFont="1" applyAlignment="1" applyProtection="1">
      <alignment horizontal="left" vertical="center"/>
      <protection/>
    </xf>
    <xf numFmtId="0" fontId="0" fillId="0" borderId="18" xfId="63" applyBorder="1">
      <alignment/>
      <protection/>
    </xf>
    <xf numFmtId="177" fontId="0" fillId="0" borderId="10" xfId="63" applyNumberFormat="1" applyFont="1" applyBorder="1" applyAlignment="1">
      <alignment horizontal="center"/>
      <protection/>
    </xf>
    <xf numFmtId="178" fontId="4" fillId="0" borderId="11" xfId="63" applyNumberFormat="1" applyFont="1" applyBorder="1" applyAlignment="1" applyProtection="1">
      <alignment horizontal="right" shrinkToFit="1"/>
      <protection locked="0"/>
    </xf>
    <xf numFmtId="0" fontId="13" fillId="0" borderId="0" xfId="63" applyFont="1" applyAlignment="1">
      <alignment horizont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0" fillId="0" borderId="0" xfId="0" applyFont="1" applyAlignment="1">
      <alignment horizontal="center" shrinkToFit="1"/>
    </xf>
    <xf numFmtId="178" fontId="0" fillId="0" borderId="0" xfId="0" applyNumberFormat="1" applyFont="1" applyAlignment="1">
      <alignment horizontal="center" shrinkToFit="1"/>
    </xf>
    <xf numFmtId="0" fontId="4" fillId="0" borderId="0" xfId="63" applyFont="1" applyAlignment="1">
      <alignment horizontal="left" vertical="center" shrinkToFit="1"/>
      <protection/>
    </xf>
    <xf numFmtId="176" fontId="0" fillId="0" borderId="0" xfId="63" applyNumberFormat="1" applyFont="1" applyAlignment="1">
      <alignment horizontal="center" shrinkToFit="1"/>
      <protection/>
    </xf>
    <xf numFmtId="176" fontId="6" fillId="0" borderId="0" xfId="61" applyFont="1" applyAlignment="1">
      <alignment horizontal="right"/>
      <protection/>
    </xf>
    <xf numFmtId="176" fontId="6" fillId="0" borderId="0" xfId="61" applyFont="1">
      <alignment horizontal="center"/>
      <protection/>
    </xf>
    <xf numFmtId="176" fontId="6" fillId="0" borderId="0" xfId="61" applyFont="1" applyAlignment="1">
      <alignment horizontal="center"/>
      <protection/>
    </xf>
    <xf numFmtId="176" fontId="6" fillId="0" borderId="0" xfId="61" applyFont="1" applyAlignment="1">
      <alignment horizontal="left"/>
      <protection/>
    </xf>
    <xf numFmtId="176" fontId="3" fillId="0" borderId="0" xfId="61" applyFont="1" applyAlignment="1">
      <alignment horizontal="left"/>
      <protection/>
    </xf>
    <xf numFmtId="176" fontId="6" fillId="0" borderId="0" xfId="61" applyFont="1" applyAlignment="1">
      <alignment horizontal="center" shrinkToFit="1"/>
      <protection/>
    </xf>
    <xf numFmtId="177" fontId="6" fillId="0" borderId="0" xfId="61" applyNumberFormat="1" applyFont="1" applyAlignment="1">
      <alignment horizontal="center" shrinkToFit="1"/>
      <protection/>
    </xf>
    <xf numFmtId="179" fontId="6" fillId="0" borderId="0" xfId="61" applyNumberFormat="1" applyFont="1" applyAlignment="1">
      <alignment horizontal="center" shrinkToFit="1"/>
      <protection/>
    </xf>
    <xf numFmtId="176" fontId="6" fillId="0" borderId="0" xfId="61" applyFont="1" applyBorder="1">
      <alignment horizontal="center"/>
      <protection/>
    </xf>
    <xf numFmtId="176" fontId="3" fillId="0" borderId="0" xfId="61" applyFont="1" applyAlignment="1" quotePrefix="1">
      <alignment horizontal="left"/>
      <protection/>
    </xf>
    <xf numFmtId="176" fontId="6" fillId="0" borderId="0" xfId="61" applyFont="1" applyBorder="1" applyAlignment="1">
      <alignment horizontal="right"/>
      <protection/>
    </xf>
    <xf numFmtId="196" fontId="6" fillId="0" borderId="0" xfId="61" applyNumberFormat="1" applyFont="1" applyAlignment="1">
      <alignment horizontal="center" shrinkToFit="1"/>
      <protection/>
    </xf>
    <xf numFmtId="176" fontId="6" fillId="0" borderId="0" xfId="61" applyFont="1" applyBorder="1" applyAlignment="1">
      <alignment horizontal="center" shrinkToFit="1"/>
      <protection/>
    </xf>
    <xf numFmtId="176" fontId="13" fillId="0" borderId="0" xfId="61" applyFont="1" applyBorder="1">
      <alignment horizontal="center"/>
      <protection/>
    </xf>
    <xf numFmtId="176" fontId="0" fillId="0" borderId="0" xfId="61" applyNumberFormat="1" applyFont="1" applyAlignment="1">
      <alignment horizontal="center" shrinkToFit="1"/>
      <protection/>
    </xf>
    <xf numFmtId="176" fontId="0" fillId="0" borderId="0" xfId="61" applyFont="1" applyAlignment="1">
      <alignment horizontal="right"/>
      <protection/>
    </xf>
    <xf numFmtId="176" fontId="0" fillId="0" borderId="0" xfId="61" applyFont="1" applyAlignment="1">
      <alignment horizontal="right" shrinkToFit="1"/>
      <protection/>
    </xf>
    <xf numFmtId="179" fontId="0" fillId="0" borderId="0" xfId="0" applyNumberFormat="1" applyFont="1" applyBorder="1" applyAlignment="1" applyProtection="1">
      <alignment horizontal="center" shrinkToFit="1"/>
      <protection/>
    </xf>
    <xf numFmtId="178" fontId="0" fillId="0" borderId="11" xfId="63" applyNumberFormat="1" applyBorder="1" applyAlignment="1">
      <alignment horizontal="right" vertical="center" shrinkToFit="1"/>
      <protection/>
    </xf>
    <xf numFmtId="0" fontId="0" fillId="0" borderId="0" xfId="63" applyFont="1" applyAlignment="1">
      <alignment horizontal="right"/>
      <protection/>
    </xf>
    <xf numFmtId="0" fontId="0" fillId="0" borderId="0" xfId="62" applyAlignment="1">
      <alignment horizontal="right" shrinkToFit="1"/>
      <protection/>
    </xf>
    <xf numFmtId="0" fontId="0" fillId="0" borderId="19" xfId="63" applyBorder="1">
      <alignment/>
      <protection/>
    </xf>
    <xf numFmtId="177" fontId="0" fillId="0" borderId="0" xfId="63" applyNumberFormat="1" applyFont="1" applyAlignment="1">
      <alignment horizontal="left"/>
      <protection/>
    </xf>
    <xf numFmtId="0" fontId="0" fillId="0" borderId="0" xfId="62" applyFont="1" applyAlignment="1">
      <alignment horizontal="right" shrinkToFit="1"/>
      <protection/>
    </xf>
    <xf numFmtId="0" fontId="0" fillId="0" borderId="16" xfId="63" applyFont="1" applyBorder="1" applyAlignment="1">
      <alignment horizontal="left" shrinkToFit="1"/>
      <protection/>
    </xf>
    <xf numFmtId="37" fontId="15" fillId="0" borderId="0" xfId="61" applyNumberFormat="1" applyFont="1" applyBorder="1" applyAlignment="1" applyProtection="1">
      <alignment horizontal="center" shrinkToFit="1"/>
      <protection/>
    </xf>
    <xf numFmtId="178" fontId="4" fillId="0" borderId="12" xfId="63" applyNumberFormat="1" applyFont="1" applyBorder="1" applyAlignment="1" applyProtection="1">
      <alignment horizontal="right" vertical="center" shrinkToFit="1"/>
      <protection locked="0"/>
    </xf>
    <xf numFmtId="178" fontId="0" fillId="0" borderId="18" xfId="63" applyNumberFormat="1" applyFont="1" applyBorder="1" applyAlignment="1" quotePrefix="1">
      <alignment horizontal="right" vertical="center" shrinkToFit="1"/>
      <protection/>
    </xf>
    <xf numFmtId="184" fontId="0" fillId="0" borderId="0" xfId="63" applyNumberFormat="1" applyFont="1" applyAlignment="1" applyProtection="1">
      <alignment horizontal="center" shrinkToFit="1"/>
      <protection/>
    </xf>
    <xf numFmtId="0" fontId="6" fillId="0" borderId="0" xfId="61" applyNumberFormat="1" applyFont="1" applyAlignment="1" applyProtection="1">
      <alignment horizontal="center" shrinkToFit="1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0" xfId="63" applyFont="1" applyAlignment="1">
      <alignment horizontal="right" vertical="center" shrinkToFit="1"/>
      <protection/>
    </xf>
    <xf numFmtId="185" fontId="4" fillId="0" borderId="14" xfId="63" applyNumberFormat="1" applyFont="1" applyBorder="1" applyAlignment="1" applyProtection="1">
      <alignment horizontal="center" shrinkToFit="1"/>
      <protection locked="0"/>
    </xf>
    <xf numFmtId="178" fontId="4" fillId="0" borderId="20" xfId="63" applyNumberFormat="1" applyFont="1" applyBorder="1" applyAlignment="1" applyProtection="1">
      <alignment horizontal="center" vertical="center" shrinkToFit="1"/>
      <protection locked="0"/>
    </xf>
    <xf numFmtId="178" fontId="0" fillId="0" borderId="20" xfId="63" applyNumberFormat="1" applyFont="1" applyBorder="1" applyAlignment="1" applyProtection="1">
      <alignment horizontal="center" vertical="center" shrinkToFit="1"/>
      <protection/>
    </xf>
    <xf numFmtId="0" fontId="19" fillId="0" borderId="0" xfId="62" applyFont="1" applyBorder="1" applyAlignment="1">
      <alignment horizontal="center" shrinkToFit="1"/>
      <protection/>
    </xf>
    <xf numFmtId="0" fontId="19" fillId="0" borderId="0" xfId="62" applyFont="1" applyBorder="1" applyAlignment="1">
      <alignment horizontal="left" shrinkToFit="1"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0" fillId="0" borderId="21" xfId="63" applyBorder="1">
      <alignment/>
      <protection/>
    </xf>
    <xf numFmtId="182" fontId="0" fillId="0" borderId="0" xfId="63" applyNumberFormat="1" applyFont="1" applyAlignment="1">
      <alignment horizontal="center" vertical="center" shrinkToFit="1"/>
      <protection/>
    </xf>
    <xf numFmtId="176" fontId="0" fillId="0" borderId="0" xfId="63" applyNumberFormat="1" applyFont="1" applyAlignment="1">
      <alignment horizontal="center" vertical="center" shrinkToFit="1"/>
      <protection/>
    </xf>
    <xf numFmtId="0" fontId="3" fillId="0" borderId="0" xfId="63" applyFont="1" applyAlignment="1">
      <alignment horizontal="center" vertical="center" shrinkToFit="1"/>
      <protection/>
    </xf>
    <xf numFmtId="0" fontId="0" fillId="0" borderId="0" xfId="63" applyAlignment="1">
      <alignment vertical="center" shrinkToFit="1"/>
      <protection/>
    </xf>
    <xf numFmtId="0" fontId="3" fillId="0" borderId="0" xfId="63" applyFont="1" applyBorder="1" applyAlignment="1">
      <alignment horizontal="left" vertical="center" shrinkToFit="1"/>
      <protection/>
    </xf>
    <xf numFmtId="177" fontId="0" fillId="0" borderId="0" xfId="63" applyNumberFormat="1" applyFont="1" applyAlignment="1">
      <alignment horizontal="center" vertical="center" shrinkToFit="1"/>
      <protection/>
    </xf>
    <xf numFmtId="0" fontId="0" fillId="33" borderId="22" xfId="63" applyFont="1" applyFill="1" applyBorder="1" applyAlignment="1">
      <alignment horizontal="center" vertical="center" shrinkToFit="1"/>
      <protection/>
    </xf>
    <xf numFmtId="0" fontId="0" fillId="33" borderId="11" xfId="63" applyFont="1" applyFill="1" applyBorder="1" applyAlignment="1">
      <alignment horizontal="center" vertical="top" shrinkToFit="1"/>
      <protection/>
    </xf>
    <xf numFmtId="0" fontId="0" fillId="33" borderId="14" xfId="63" applyFill="1" applyBorder="1" applyAlignment="1">
      <alignment horizontal="center"/>
      <protection/>
    </xf>
    <xf numFmtId="0" fontId="0" fillId="33" borderId="12" xfId="63" applyFill="1" applyBorder="1" applyAlignment="1">
      <alignment horizontal="center"/>
      <protection/>
    </xf>
    <xf numFmtId="0" fontId="0" fillId="33" borderId="23" xfId="63" applyFill="1" applyBorder="1" applyAlignment="1">
      <alignment horizontal="center"/>
      <protection/>
    </xf>
    <xf numFmtId="178" fontId="3" fillId="34" borderId="24" xfId="63" applyNumberFormat="1" applyFont="1" applyFill="1" applyBorder="1" applyAlignment="1">
      <alignment horizontal="center" vertical="center" shrinkToFit="1"/>
      <protection/>
    </xf>
    <xf numFmtId="0" fontId="3" fillId="34" borderId="11" xfId="63" applyFont="1" applyFill="1" applyBorder="1" applyAlignment="1">
      <alignment horizontal="center" vertical="center" shrinkToFit="1"/>
      <protection/>
    </xf>
    <xf numFmtId="0" fontId="3" fillId="34" borderId="25" xfId="63" applyFont="1" applyFill="1" applyBorder="1" applyAlignment="1">
      <alignment horizontal="center" vertical="center" shrinkToFit="1"/>
      <protection/>
    </xf>
    <xf numFmtId="0" fontId="3" fillId="34" borderId="20" xfId="63" applyFont="1" applyFill="1" applyBorder="1" applyAlignment="1">
      <alignment horizontal="center" vertical="center" shrinkToFit="1"/>
      <protection/>
    </xf>
    <xf numFmtId="0" fontId="3" fillId="34" borderId="24" xfId="63" applyFont="1" applyFill="1" applyBorder="1" applyAlignment="1">
      <alignment horizontal="center" vertical="center" shrinkToFit="1"/>
      <protection/>
    </xf>
    <xf numFmtId="0" fontId="21" fillId="35" borderId="26" xfId="63" applyFont="1" applyFill="1" applyBorder="1" applyAlignment="1">
      <alignment horizontal="center" vertical="center" shrinkToFit="1"/>
      <protection/>
    </xf>
    <xf numFmtId="0" fontId="21" fillId="35" borderId="14" xfId="63" applyFont="1" applyFill="1" applyBorder="1" applyAlignment="1">
      <alignment horizontal="center" vertical="center" shrinkToFit="1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187" fontId="0" fillId="0" borderId="0" xfId="63" applyNumberFormat="1" applyFont="1" applyAlignment="1" applyProtection="1">
      <alignment horizontal="center"/>
      <protection/>
    </xf>
    <xf numFmtId="0" fontId="21" fillId="0" borderId="0" xfId="63" applyFont="1" applyBorder="1" applyAlignment="1">
      <alignment horizontal="right" vertical="top" shrinkToFit="1"/>
      <protection/>
    </xf>
    <xf numFmtId="0" fontId="21" fillId="0" borderId="0" xfId="63" applyFont="1" applyBorder="1" applyAlignment="1">
      <alignment horizontal="left" shrinkToFit="1"/>
      <protection/>
    </xf>
    <xf numFmtId="0" fontId="21" fillId="0" borderId="0" xfId="63" applyFont="1" applyBorder="1" applyAlignment="1">
      <alignment horizontal="left"/>
      <protection/>
    </xf>
    <xf numFmtId="0" fontId="21" fillId="0" borderId="0" xfId="63" applyFont="1" applyAlignment="1" quotePrefix="1">
      <alignment horizontal="left"/>
      <protection/>
    </xf>
    <xf numFmtId="178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63" applyFont="1" applyAlignment="1">
      <alignment horizontal="right" vertical="top"/>
      <protection/>
    </xf>
    <xf numFmtId="0" fontId="0" fillId="0" borderId="0" xfId="62" applyFont="1" applyAlignment="1">
      <alignment horizontal="right" shrinkToFit="1"/>
      <protection/>
    </xf>
    <xf numFmtId="178" fontId="23" fillId="0" borderId="11" xfId="63" applyNumberFormat="1" applyFont="1" applyBorder="1" applyAlignment="1">
      <alignment horizontal="right" vertical="center" shrinkToFit="1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0" fontId="3" fillId="33" borderId="20" xfId="63" applyFont="1" applyFill="1" applyBorder="1" applyAlignment="1">
      <alignment horizontal="center" vertical="center" shrinkToFit="1"/>
      <protection/>
    </xf>
    <xf numFmtId="0" fontId="0" fillId="33" borderId="11" xfId="63" applyFont="1" applyFill="1" applyBorder="1" applyAlignment="1">
      <alignment horizontal="center" vertical="center" shrinkToFit="1"/>
      <protection/>
    </xf>
    <xf numFmtId="178" fontId="3" fillId="33" borderId="22" xfId="63" applyNumberFormat="1" applyFont="1" applyFill="1" applyBorder="1" applyAlignment="1">
      <alignment horizontal="center" vertical="center" shrinkToFit="1"/>
      <protection/>
    </xf>
    <xf numFmtId="0" fontId="23" fillId="0" borderId="0" xfId="63" applyFont="1" applyAlignment="1">
      <alignment horizontal="right"/>
      <protection/>
    </xf>
    <xf numFmtId="0" fontId="26" fillId="0" borderId="0" xfId="63" applyFont="1" applyBorder="1" applyAlignment="1">
      <alignment horizontal="left"/>
      <protection/>
    </xf>
    <xf numFmtId="178" fontId="4" fillId="0" borderId="11" xfId="63" applyNumberFormat="1" applyFont="1" applyBorder="1" applyAlignment="1" applyProtection="1">
      <alignment horizontal="right" shrinkToFit="1"/>
      <protection/>
    </xf>
    <xf numFmtId="0" fontId="4" fillId="0" borderId="0" xfId="63" applyFont="1" applyBorder="1" applyAlignment="1">
      <alignment horizontal="left" shrinkToFit="1"/>
      <protection/>
    </xf>
    <xf numFmtId="0" fontId="21" fillId="0" borderId="0" xfId="63" applyFont="1" applyBorder="1" applyAlignment="1">
      <alignment horizontal="center" vertical="top" shrinkToFit="1"/>
      <protection/>
    </xf>
    <xf numFmtId="178" fontId="4" fillId="0" borderId="0" xfId="63" applyNumberFormat="1" applyFont="1" applyAlignment="1" applyProtection="1" quotePrefix="1">
      <alignment horizontal="left" shrinkToFit="1"/>
      <protection locked="0"/>
    </xf>
    <xf numFmtId="177" fontId="9" fillId="0" borderId="0" xfId="63" applyNumberFormat="1" applyFont="1" applyAlignment="1" applyProtection="1">
      <alignment horizontal="center" vertical="center" shrinkToFit="1"/>
      <protection locked="0"/>
    </xf>
    <xf numFmtId="176" fontId="9" fillId="0" borderId="0" xfId="63" applyNumberFormat="1" applyFont="1" applyAlignment="1" applyProtection="1">
      <alignment horizontal="center" vertical="center" shrinkToFit="1"/>
      <protection locked="0"/>
    </xf>
    <xf numFmtId="182" fontId="0" fillId="0" borderId="0" xfId="63" applyNumberFormat="1" applyFont="1" applyBorder="1" applyAlignment="1">
      <alignment horizontal="right" vertical="center" shrinkToFit="1"/>
      <protection/>
    </xf>
    <xf numFmtId="182" fontId="0" fillId="0" borderId="27" xfId="63" applyNumberFormat="1" applyFont="1" applyBorder="1" applyAlignment="1">
      <alignment horizontal="right" vertical="center" shrinkToFit="1"/>
      <protection/>
    </xf>
    <xf numFmtId="178" fontId="3" fillId="34" borderId="28" xfId="63" applyNumberFormat="1" applyFont="1" applyFill="1" applyBorder="1" applyAlignment="1">
      <alignment horizontal="center" vertical="center" shrinkToFit="1"/>
      <protection/>
    </xf>
    <xf numFmtId="178" fontId="3" fillId="34" borderId="20" xfId="63" applyNumberFormat="1" applyFont="1" applyFill="1" applyBorder="1" applyAlignment="1">
      <alignment horizontal="center" vertical="center" shrinkToFit="1"/>
      <protection/>
    </xf>
    <xf numFmtId="0" fontId="3" fillId="0" borderId="0" xfId="63" applyFont="1" applyAlignment="1">
      <alignment horizontal="right" vertical="top" wrapText="1"/>
      <protection/>
    </xf>
    <xf numFmtId="178" fontId="0" fillId="0" borderId="0" xfId="63" applyNumberFormat="1" applyAlignment="1">
      <alignment horizontal="center"/>
      <protection/>
    </xf>
    <xf numFmtId="177" fontId="0" fillId="0" borderId="0" xfId="63" applyNumberFormat="1" applyFont="1" applyAlignment="1" quotePrefix="1">
      <alignment horizontal="center" shrinkToFit="1"/>
      <protection/>
    </xf>
    <xf numFmtId="178" fontId="4" fillId="0" borderId="12" xfId="63" applyNumberFormat="1" applyFont="1" applyBorder="1" applyAlignment="1" applyProtection="1">
      <alignment horizontal="center" shrinkToFit="1"/>
      <protection locked="0"/>
    </xf>
    <xf numFmtId="178" fontId="4" fillId="0" borderId="14" xfId="63" applyNumberFormat="1" applyFont="1" applyBorder="1" applyAlignment="1" applyProtection="1">
      <alignment horizontal="center" shrinkToFit="1"/>
      <protection locked="0"/>
    </xf>
    <xf numFmtId="178" fontId="4" fillId="0" borderId="26" xfId="63" applyNumberFormat="1" applyFont="1" applyBorder="1" applyAlignment="1" applyProtection="1">
      <alignment horizontal="center" shrinkToFit="1"/>
      <protection locked="0"/>
    </xf>
    <xf numFmtId="0" fontId="19" fillId="0" borderId="0" xfId="62" applyFont="1" applyBorder="1" applyAlignment="1">
      <alignment horizontal="center" shrinkToFit="1"/>
      <protection/>
    </xf>
    <xf numFmtId="178" fontId="0" fillId="0" borderId="0" xfId="63" applyNumberFormat="1" applyFont="1" applyAlignment="1" quotePrefix="1">
      <alignment horizontal="center"/>
      <protection/>
    </xf>
    <xf numFmtId="0" fontId="0" fillId="0" borderId="0" xfId="63" applyFont="1" applyAlignment="1">
      <alignment horizontal="center" vertical="center" shrinkToFit="1"/>
      <protection/>
    </xf>
    <xf numFmtId="177" fontId="0" fillId="0" borderId="0" xfId="63" applyNumberFormat="1" applyFont="1" applyAlignment="1">
      <alignment horizontal="left" shrinkToFit="1"/>
      <protection/>
    </xf>
    <xf numFmtId="178" fontId="4" fillId="0" borderId="29" xfId="63" applyNumberFormat="1" applyFont="1" applyBorder="1" applyAlignment="1" applyProtection="1">
      <alignment horizontal="right" vertical="center" shrinkToFit="1"/>
      <protection locked="0"/>
    </xf>
    <xf numFmtId="178" fontId="4" fillId="0" borderId="27" xfId="63" applyNumberFormat="1" applyFont="1" applyBorder="1" applyAlignment="1" applyProtection="1">
      <alignment horizontal="right" vertical="center" shrinkToFit="1"/>
      <protection locked="0"/>
    </xf>
    <xf numFmtId="0" fontId="13" fillId="0" borderId="11" xfId="63" applyFont="1" applyBorder="1" applyAlignment="1">
      <alignment horizontal="center" vertical="center" wrapText="1" shrinkToFit="1"/>
      <protection/>
    </xf>
    <xf numFmtId="177" fontId="0" fillId="0" borderId="0" xfId="63" applyNumberFormat="1" applyAlignment="1">
      <alignment horizontal="left" shrinkToFit="1"/>
      <protection/>
    </xf>
    <xf numFmtId="0" fontId="0" fillId="0" borderId="0" xfId="63" applyAlignment="1">
      <alignment horizontal="left" shrinkToFit="1"/>
      <protection/>
    </xf>
    <xf numFmtId="177" fontId="23" fillId="0" borderId="0" xfId="63" applyNumberFormat="1" applyFont="1" applyAlignment="1" quotePrefix="1">
      <alignment horizontal="center" shrinkToFit="1"/>
      <protection/>
    </xf>
    <xf numFmtId="0" fontId="24" fillId="0" borderId="11" xfId="63" applyFont="1" applyBorder="1" applyAlignment="1">
      <alignment horizontal="center" vertical="center" wrapText="1" shrinkToFit="1"/>
      <protection/>
    </xf>
    <xf numFmtId="178" fontId="3" fillId="33" borderId="11" xfId="63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風圧算定" xfId="61"/>
    <cellStyle name="標準_直接基礎_FOOTING" xfId="62"/>
    <cellStyle name="標準_直接基礎_FOOTING_土圧" xfId="63"/>
    <cellStyle name="標準_鉄骨小梁_土圧" xfId="64"/>
    <cellStyle name="良い" xfId="65"/>
  </cellStyles>
  <dxfs count="40">
    <dxf>
      <font>
        <b/>
        <i val="0"/>
        <color indexed="1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FFFF"/>
      </font>
      <border/>
    </dxf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47</xdr:row>
      <xdr:rowOff>152400</xdr:rowOff>
    </xdr:from>
    <xdr:ext cx="952500" cy="285750"/>
    <xdr:sp macro="[0]!最小鉄筋BS">
      <xdr:nvSpPr>
        <xdr:cNvPr id="1" name="Rectangle 18"/>
        <xdr:cNvSpPr>
          <a:spLocks/>
        </xdr:cNvSpPr>
      </xdr:nvSpPr>
      <xdr:spPr>
        <a:xfrm>
          <a:off x="5153025" y="9858375"/>
          <a:ext cx="9525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最小配筋</a:t>
          </a:r>
        </a:p>
      </xdr:txBody>
    </xdr:sp>
    <xdr:clientData fPrintsWithSheet="0"/>
  </xdr:oneCellAnchor>
  <xdr:oneCellAnchor>
    <xdr:from>
      <xdr:col>5</xdr:col>
      <xdr:colOff>152400</xdr:colOff>
      <xdr:row>23</xdr:row>
      <xdr:rowOff>190500</xdr:rowOff>
    </xdr:from>
    <xdr:ext cx="923925" cy="495300"/>
    <xdr:sp macro="[0]!印刷2">
      <xdr:nvSpPr>
        <xdr:cNvPr id="2" name="Text Box 20"/>
        <xdr:cNvSpPr txBox="1">
          <a:spLocks noChangeAspect="1" noChangeArrowheads="1"/>
        </xdr:cNvSpPr>
      </xdr:nvSpPr>
      <xdr:spPr>
        <a:xfrm>
          <a:off x="3571875" y="4410075"/>
          <a:ext cx="923925" cy="495300"/>
        </a:xfrm>
        <a:prstGeom prst="rect">
          <a:avLst/>
        </a:prstGeom>
        <a:solidFill>
          <a:srgbClr val="FFFFFF"/>
        </a:solidFill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 lIns="180000" tIns="72000" rIns="180000" bIns="72000" anchor="ctr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</a:p>
      </xdr:txBody>
    </xdr:sp>
    <xdr:clientData fPrintsWithSheet="0"/>
  </xdr:oneCellAnchor>
  <xdr:oneCellAnchor>
    <xdr:from>
      <xdr:col>6</xdr:col>
      <xdr:colOff>485775</xdr:colOff>
      <xdr:row>15</xdr:row>
      <xdr:rowOff>209550</xdr:rowOff>
    </xdr:from>
    <xdr:ext cx="47625" cy="47625"/>
    <xdr:sp>
      <xdr:nvSpPr>
        <xdr:cNvPr id="3" name="Oval 91"/>
        <xdr:cNvSpPr>
          <a:spLocks noChangeAspect="1"/>
        </xdr:cNvSpPr>
      </xdr:nvSpPr>
      <xdr:spPr>
        <a:xfrm>
          <a:off x="4257675" y="250507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485775</xdr:colOff>
      <xdr:row>1</xdr:row>
      <xdr:rowOff>295275</xdr:rowOff>
    </xdr:from>
    <xdr:ext cx="47625" cy="47625"/>
    <xdr:sp>
      <xdr:nvSpPr>
        <xdr:cNvPr id="4" name="Oval 107"/>
        <xdr:cNvSpPr>
          <a:spLocks noChangeAspect="1"/>
        </xdr:cNvSpPr>
      </xdr:nvSpPr>
      <xdr:spPr>
        <a:xfrm>
          <a:off x="4257675" y="50482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</xdr:row>
      <xdr:rowOff>295275</xdr:rowOff>
    </xdr:from>
    <xdr:ext cx="47625" cy="47625"/>
    <xdr:sp>
      <xdr:nvSpPr>
        <xdr:cNvPr id="5" name="Oval 108"/>
        <xdr:cNvSpPr>
          <a:spLocks noChangeAspect="1"/>
        </xdr:cNvSpPr>
      </xdr:nvSpPr>
      <xdr:spPr>
        <a:xfrm>
          <a:off x="4800600" y="50482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14</xdr:row>
      <xdr:rowOff>161925</xdr:rowOff>
    </xdr:from>
    <xdr:ext cx="47625" cy="47625"/>
    <xdr:sp>
      <xdr:nvSpPr>
        <xdr:cNvPr id="6" name="Oval 109"/>
        <xdr:cNvSpPr>
          <a:spLocks noChangeAspect="1"/>
        </xdr:cNvSpPr>
      </xdr:nvSpPr>
      <xdr:spPr>
        <a:xfrm>
          <a:off x="4800600" y="2286000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16</xdr:row>
      <xdr:rowOff>219075</xdr:rowOff>
    </xdr:from>
    <xdr:ext cx="47625" cy="57150"/>
    <xdr:sp>
      <xdr:nvSpPr>
        <xdr:cNvPr id="7" name="Oval 110"/>
        <xdr:cNvSpPr>
          <a:spLocks noChangeAspect="1"/>
        </xdr:cNvSpPr>
      </xdr:nvSpPr>
      <xdr:spPr>
        <a:xfrm>
          <a:off x="4800600" y="27432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17</xdr:row>
      <xdr:rowOff>219075</xdr:rowOff>
    </xdr:from>
    <xdr:ext cx="47625" cy="57150"/>
    <xdr:sp>
      <xdr:nvSpPr>
        <xdr:cNvPr id="8" name="Oval 111"/>
        <xdr:cNvSpPr>
          <a:spLocks noChangeAspect="1"/>
        </xdr:cNvSpPr>
      </xdr:nvSpPr>
      <xdr:spPr>
        <a:xfrm>
          <a:off x="4800600" y="29908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20</xdr:row>
      <xdr:rowOff>219075</xdr:rowOff>
    </xdr:from>
    <xdr:ext cx="47625" cy="57150"/>
    <xdr:sp>
      <xdr:nvSpPr>
        <xdr:cNvPr id="9" name="Oval 112"/>
        <xdr:cNvSpPr>
          <a:spLocks noChangeAspect="1"/>
        </xdr:cNvSpPr>
      </xdr:nvSpPr>
      <xdr:spPr>
        <a:xfrm>
          <a:off x="5791200" y="37338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295275</xdr:colOff>
      <xdr:row>20</xdr:row>
      <xdr:rowOff>219075</xdr:rowOff>
    </xdr:from>
    <xdr:ext cx="47625" cy="57150"/>
    <xdr:sp>
      <xdr:nvSpPr>
        <xdr:cNvPr id="10" name="Oval 113"/>
        <xdr:cNvSpPr>
          <a:spLocks noChangeAspect="1"/>
        </xdr:cNvSpPr>
      </xdr:nvSpPr>
      <xdr:spPr>
        <a:xfrm>
          <a:off x="6696075" y="37338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142875</xdr:rowOff>
    </xdr:from>
    <xdr:ext cx="47625" cy="57150"/>
    <xdr:sp>
      <xdr:nvSpPr>
        <xdr:cNvPr id="11" name="Oval 114"/>
        <xdr:cNvSpPr>
          <a:spLocks noChangeAspect="1"/>
        </xdr:cNvSpPr>
      </xdr:nvSpPr>
      <xdr:spPr>
        <a:xfrm>
          <a:off x="6381750" y="17526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295275</xdr:colOff>
      <xdr:row>11</xdr:row>
      <xdr:rowOff>142875</xdr:rowOff>
    </xdr:from>
    <xdr:ext cx="47625" cy="57150"/>
    <xdr:sp>
      <xdr:nvSpPr>
        <xdr:cNvPr id="12" name="Oval 115"/>
        <xdr:cNvSpPr>
          <a:spLocks noChangeAspect="1"/>
        </xdr:cNvSpPr>
      </xdr:nvSpPr>
      <xdr:spPr>
        <a:xfrm>
          <a:off x="6105525" y="17526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15</xdr:row>
      <xdr:rowOff>209550</xdr:rowOff>
    </xdr:from>
    <xdr:ext cx="47625" cy="47625"/>
    <xdr:sp>
      <xdr:nvSpPr>
        <xdr:cNvPr id="13" name="Oval 116"/>
        <xdr:cNvSpPr>
          <a:spLocks noChangeAspect="1"/>
        </xdr:cNvSpPr>
      </xdr:nvSpPr>
      <xdr:spPr>
        <a:xfrm>
          <a:off x="4800600" y="250507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485775</xdr:colOff>
      <xdr:row>17</xdr:row>
      <xdr:rowOff>219075</xdr:rowOff>
    </xdr:from>
    <xdr:ext cx="47625" cy="57150"/>
    <xdr:sp>
      <xdr:nvSpPr>
        <xdr:cNvPr id="14" name="Oval 117"/>
        <xdr:cNvSpPr>
          <a:spLocks noChangeAspect="1"/>
        </xdr:cNvSpPr>
      </xdr:nvSpPr>
      <xdr:spPr>
        <a:xfrm>
          <a:off x="4257675" y="29908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19</xdr:row>
      <xdr:rowOff>219075</xdr:rowOff>
    </xdr:from>
    <xdr:ext cx="47625" cy="57150"/>
    <xdr:sp>
      <xdr:nvSpPr>
        <xdr:cNvPr id="15" name="Oval 118"/>
        <xdr:cNvSpPr>
          <a:spLocks noChangeAspect="1"/>
        </xdr:cNvSpPr>
      </xdr:nvSpPr>
      <xdr:spPr>
        <a:xfrm>
          <a:off x="5791200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295275</xdr:colOff>
      <xdr:row>19</xdr:row>
      <xdr:rowOff>219075</xdr:rowOff>
    </xdr:from>
    <xdr:ext cx="47625" cy="57150"/>
    <xdr:sp>
      <xdr:nvSpPr>
        <xdr:cNvPr id="16" name="Oval 119"/>
        <xdr:cNvSpPr>
          <a:spLocks noChangeAspect="1"/>
        </xdr:cNvSpPr>
      </xdr:nvSpPr>
      <xdr:spPr>
        <a:xfrm>
          <a:off x="6105525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19</xdr:row>
      <xdr:rowOff>219075</xdr:rowOff>
    </xdr:from>
    <xdr:ext cx="47625" cy="57150"/>
    <xdr:sp>
      <xdr:nvSpPr>
        <xdr:cNvPr id="17" name="Oval 120"/>
        <xdr:cNvSpPr>
          <a:spLocks noChangeAspect="1"/>
        </xdr:cNvSpPr>
      </xdr:nvSpPr>
      <xdr:spPr>
        <a:xfrm>
          <a:off x="6381750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295275</xdr:colOff>
      <xdr:row>19</xdr:row>
      <xdr:rowOff>219075</xdr:rowOff>
    </xdr:from>
    <xdr:ext cx="47625" cy="57150"/>
    <xdr:sp>
      <xdr:nvSpPr>
        <xdr:cNvPr id="18" name="Oval 121"/>
        <xdr:cNvSpPr>
          <a:spLocks noChangeAspect="1"/>
        </xdr:cNvSpPr>
      </xdr:nvSpPr>
      <xdr:spPr>
        <a:xfrm>
          <a:off x="6696075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47</xdr:row>
      <xdr:rowOff>152400</xdr:rowOff>
    </xdr:from>
    <xdr:ext cx="1000125" cy="304800"/>
    <xdr:sp macro="[0]!最小鉄筋BS">
      <xdr:nvSpPr>
        <xdr:cNvPr id="1" name="Rectangle 7"/>
        <xdr:cNvSpPr>
          <a:spLocks/>
        </xdr:cNvSpPr>
      </xdr:nvSpPr>
      <xdr:spPr>
        <a:xfrm>
          <a:off x="5153025" y="9858375"/>
          <a:ext cx="1000125" cy="304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最小配筋</a:t>
          </a:r>
        </a:p>
      </xdr:txBody>
    </xdr:sp>
    <xdr:clientData fPrintsWithSheet="0"/>
  </xdr:oneCellAnchor>
  <xdr:oneCellAnchor>
    <xdr:from>
      <xdr:col>5</xdr:col>
      <xdr:colOff>152400</xdr:colOff>
      <xdr:row>23</xdr:row>
      <xdr:rowOff>190500</xdr:rowOff>
    </xdr:from>
    <xdr:ext cx="933450" cy="495300"/>
    <xdr:sp macro="[0]!印刷2">
      <xdr:nvSpPr>
        <xdr:cNvPr id="2" name="Text Box 9"/>
        <xdr:cNvSpPr txBox="1">
          <a:spLocks noChangeAspect="1" noChangeArrowheads="1"/>
        </xdr:cNvSpPr>
      </xdr:nvSpPr>
      <xdr:spPr>
        <a:xfrm>
          <a:off x="3571875" y="4410075"/>
          <a:ext cx="93345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 lIns="180000" tIns="72000" rIns="180000" bIns="72000" anchor="ctr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</a:p>
      </xdr:txBody>
    </xdr:sp>
    <xdr:clientData fPrintsWithSheet="0"/>
  </xdr:oneCellAnchor>
  <xdr:oneCellAnchor>
    <xdr:from>
      <xdr:col>6</xdr:col>
      <xdr:colOff>485775</xdr:colOff>
      <xdr:row>15</xdr:row>
      <xdr:rowOff>209550</xdr:rowOff>
    </xdr:from>
    <xdr:ext cx="47625" cy="47625"/>
    <xdr:sp>
      <xdr:nvSpPr>
        <xdr:cNvPr id="3" name="Oval 13"/>
        <xdr:cNvSpPr>
          <a:spLocks noChangeAspect="1"/>
        </xdr:cNvSpPr>
      </xdr:nvSpPr>
      <xdr:spPr>
        <a:xfrm>
          <a:off x="4257675" y="250507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485775</xdr:colOff>
      <xdr:row>1</xdr:row>
      <xdr:rowOff>295275</xdr:rowOff>
    </xdr:from>
    <xdr:ext cx="47625" cy="47625"/>
    <xdr:sp>
      <xdr:nvSpPr>
        <xdr:cNvPr id="4" name="Oval 14"/>
        <xdr:cNvSpPr>
          <a:spLocks noChangeAspect="1"/>
        </xdr:cNvSpPr>
      </xdr:nvSpPr>
      <xdr:spPr>
        <a:xfrm>
          <a:off x="4257675" y="50482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</xdr:row>
      <xdr:rowOff>295275</xdr:rowOff>
    </xdr:from>
    <xdr:ext cx="47625" cy="47625"/>
    <xdr:sp>
      <xdr:nvSpPr>
        <xdr:cNvPr id="5" name="Oval 15"/>
        <xdr:cNvSpPr>
          <a:spLocks noChangeAspect="1"/>
        </xdr:cNvSpPr>
      </xdr:nvSpPr>
      <xdr:spPr>
        <a:xfrm>
          <a:off x="4800600" y="50482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14</xdr:row>
      <xdr:rowOff>161925</xdr:rowOff>
    </xdr:from>
    <xdr:ext cx="47625" cy="47625"/>
    <xdr:sp>
      <xdr:nvSpPr>
        <xdr:cNvPr id="6" name="Oval 16"/>
        <xdr:cNvSpPr>
          <a:spLocks noChangeAspect="1"/>
        </xdr:cNvSpPr>
      </xdr:nvSpPr>
      <xdr:spPr>
        <a:xfrm>
          <a:off x="4800600" y="2286000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16</xdr:row>
      <xdr:rowOff>219075</xdr:rowOff>
    </xdr:from>
    <xdr:ext cx="47625" cy="57150"/>
    <xdr:sp>
      <xdr:nvSpPr>
        <xdr:cNvPr id="7" name="Oval 17"/>
        <xdr:cNvSpPr>
          <a:spLocks noChangeAspect="1"/>
        </xdr:cNvSpPr>
      </xdr:nvSpPr>
      <xdr:spPr>
        <a:xfrm>
          <a:off x="4800600" y="27432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17</xdr:row>
      <xdr:rowOff>219075</xdr:rowOff>
    </xdr:from>
    <xdr:ext cx="47625" cy="57150"/>
    <xdr:sp>
      <xdr:nvSpPr>
        <xdr:cNvPr id="8" name="Oval 18"/>
        <xdr:cNvSpPr>
          <a:spLocks noChangeAspect="1"/>
        </xdr:cNvSpPr>
      </xdr:nvSpPr>
      <xdr:spPr>
        <a:xfrm>
          <a:off x="4800600" y="29908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20</xdr:row>
      <xdr:rowOff>219075</xdr:rowOff>
    </xdr:from>
    <xdr:ext cx="47625" cy="57150"/>
    <xdr:sp>
      <xdr:nvSpPr>
        <xdr:cNvPr id="9" name="Oval 19"/>
        <xdr:cNvSpPr>
          <a:spLocks noChangeAspect="1"/>
        </xdr:cNvSpPr>
      </xdr:nvSpPr>
      <xdr:spPr>
        <a:xfrm>
          <a:off x="5791200" y="37338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295275</xdr:colOff>
      <xdr:row>20</xdr:row>
      <xdr:rowOff>219075</xdr:rowOff>
    </xdr:from>
    <xdr:ext cx="47625" cy="57150"/>
    <xdr:sp>
      <xdr:nvSpPr>
        <xdr:cNvPr id="10" name="Oval 20"/>
        <xdr:cNvSpPr>
          <a:spLocks noChangeAspect="1"/>
        </xdr:cNvSpPr>
      </xdr:nvSpPr>
      <xdr:spPr>
        <a:xfrm>
          <a:off x="6696075" y="37338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11</xdr:row>
      <xdr:rowOff>142875</xdr:rowOff>
    </xdr:from>
    <xdr:ext cx="47625" cy="57150"/>
    <xdr:sp>
      <xdr:nvSpPr>
        <xdr:cNvPr id="11" name="Oval 21"/>
        <xdr:cNvSpPr>
          <a:spLocks noChangeAspect="1"/>
        </xdr:cNvSpPr>
      </xdr:nvSpPr>
      <xdr:spPr>
        <a:xfrm>
          <a:off x="6381750" y="17526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295275</xdr:colOff>
      <xdr:row>11</xdr:row>
      <xdr:rowOff>142875</xdr:rowOff>
    </xdr:from>
    <xdr:ext cx="47625" cy="57150"/>
    <xdr:sp>
      <xdr:nvSpPr>
        <xdr:cNvPr id="12" name="Oval 22"/>
        <xdr:cNvSpPr>
          <a:spLocks noChangeAspect="1"/>
        </xdr:cNvSpPr>
      </xdr:nvSpPr>
      <xdr:spPr>
        <a:xfrm>
          <a:off x="6105525" y="175260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15</xdr:row>
      <xdr:rowOff>209550</xdr:rowOff>
    </xdr:from>
    <xdr:ext cx="47625" cy="47625"/>
    <xdr:sp>
      <xdr:nvSpPr>
        <xdr:cNvPr id="13" name="Oval 23"/>
        <xdr:cNvSpPr>
          <a:spLocks noChangeAspect="1"/>
        </xdr:cNvSpPr>
      </xdr:nvSpPr>
      <xdr:spPr>
        <a:xfrm>
          <a:off x="4800600" y="2505075"/>
          <a:ext cx="47625" cy="476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485775</xdr:colOff>
      <xdr:row>17</xdr:row>
      <xdr:rowOff>219075</xdr:rowOff>
    </xdr:from>
    <xdr:ext cx="47625" cy="57150"/>
    <xdr:sp>
      <xdr:nvSpPr>
        <xdr:cNvPr id="14" name="Oval 24"/>
        <xdr:cNvSpPr>
          <a:spLocks noChangeAspect="1"/>
        </xdr:cNvSpPr>
      </xdr:nvSpPr>
      <xdr:spPr>
        <a:xfrm>
          <a:off x="4257675" y="29908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19</xdr:row>
      <xdr:rowOff>219075</xdr:rowOff>
    </xdr:from>
    <xdr:ext cx="47625" cy="57150"/>
    <xdr:sp>
      <xdr:nvSpPr>
        <xdr:cNvPr id="15" name="Oval 25"/>
        <xdr:cNvSpPr>
          <a:spLocks noChangeAspect="1"/>
        </xdr:cNvSpPr>
      </xdr:nvSpPr>
      <xdr:spPr>
        <a:xfrm>
          <a:off x="5791200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295275</xdr:colOff>
      <xdr:row>19</xdr:row>
      <xdr:rowOff>219075</xdr:rowOff>
    </xdr:from>
    <xdr:ext cx="47625" cy="57150"/>
    <xdr:sp>
      <xdr:nvSpPr>
        <xdr:cNvPr id="16" name="Oval 26"/>
        <xdr:cNvSpPr>
          <a:spLocks noChangeAspect="1"/>
        </xdr:cNvSpPr>
      </xdr:nvSpPr>
      <xdr:spPr>
        <a:xfrm>
          <a:off x="6105525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19</xdr:row>
      <xdr:rowOff>219075</xdr:rowOff>
    </xdr:from>
    <xdr:ext cx="47625" cy="57150"/>
    <xdr:sp>
      <xdr:nvSpPr>
        <xdr:cNvPr id="17" name="Oval 27"/>
        <xdr:cNvSpPr>
          <a:spLocks noChangeAspect="1"/>
        </xdr:cNvSpPr>
      </xdr:nvSpPr>
      <xdr:spPr>
        <a:xfrm>
          <a:off x="6381750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295275</xdr:colOff>
      <xdr:row>19</xdr:row>
      <xdr:rowOff>219075</xdr:rowOff>
    </xdr:from>
    <xdr:ext cx="47625" cy="57150"/>
    <xdr:sp>
      <xdr:nvSpPr>
        <xdr:cNvPr id="18" name="Oval 28"/>
        <xdr:cNvSpPr>
          <a:spLocks noChangeAspect="1"/>
        </xdr:cNvSpPr>
      </xdr:nvSpPr>
      <xdr:spPr>
        <a:xfrm>
          <a:off x="6696075" y="3486150"/>
          <a:ext cx="47625" cy="5715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Y64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375" defaultRowHeight="13.5"/>
  <cols>
    <col min="1" max="2" width="8.625" style="1" customWidth="1"/>
    <col min="3" max="3" width="5.375" style="1" customWidth="1"/>
    <col min="4" max="4" width="7.625" style="1" customWidth="1"/>
    <col min="5" max="5" width="14.625" style="1" customWidth="1"/>
    <col min="6" max="6" width="4.625" style="1" customWidth="1"/>
    <col min="7" max="7" width="6.625" style="1" customWidth="1"/>
    <col min="8" max="9" width="7.125" style="1" customWidth="1"/>
    <col min="10" max="10" width="5.875" style="1" customWidth="1"/>
    <col min="11" max="11" width="4.125" style="1" customWidth="1"/>
    <col min="12" max="12" width="3.625" style="1" customWidth="1"/>
    <col min="13" max="13" width="4.125" style="2" customWidth="1"/>
    <col min="14" max="14" width="7.625" style="1" customWidth="1"/>
    <col min="15" max="15" width="10.625" style="1" customWidth="1"/>
    <col min="16" max="16" width="6.625" style="1" customWidth="1"/>
    <col min="17" max="17" width="7.625" style="1" customWidth="1"/>
    <col min="18" max="18" width="6.75390625" style="1" customWidth="1"/>
    <col min="19" max="19" width="8.625" style="1" customWidth="1"/>
    <col min="20" max="22" width="2.625" style="1" customWidth="1"/>
    <col min="23" max="23" width="8.375" style="96" customWidth="1"/>
    <col min="24" max="24" width="8.375" style="97" customWidth="1"/>
    <col min="25" max="16384" width="8.375" style="1" customWidth="1"/>
  </cols>
  <sheetData>
    <row r="1" spans="1:14" ht="16.5" customHeight="1">
      <c r="A1" s="45"/>
      <c r="N1" s="46"/>
    </row>
    <row r="2" spans="1:15" ht="24.75" customHeight="1">
      <c r="A2" s="47" t="str">
        <f>"CB"&amp;FIXED(K12,0)&amp;" "&amp;I21</f>
        <v>CB100 A種</v>
      </c>
      <c r="C2" s="48"/>
      <c r="M2" s="185" t="s">
        <v>176</v>
      </c>
      <c r="N2" s="185"/>
      <c r="O2" s="89"/>
    </row>
    <row r="3" spans="1:19" ht="30" customHeight="1">
      <c r="A3" s="95" t="s">
        <v>25</v>
      </c>
      <c r="B3" s="90" t="s">
        <v>71</v>
      </c>
      <c r="E3" s="98" t="s">
        <v>174</v>
      </c>
      <c r="H3" s="91"/>
      <c r="I3" s="91"/>
      <c r="L3" s="151">
        <v>1</v>
      </c>
      <c r="M3" s="1"/>
      <c r="S3" s="142" t="s">
        <v>110</v>
      </c>
    </row>
    <row r="4" spans="2:24" ht="14.25">
      <c r="B4" s="43" t="s">
        <v>72</v>
      </c>
      <c r="C4" s="99">
        <f>VLOOKUP(E3,W4:X44,2,FALSE)</f>
        <v>34</v>
      </c>
      <c r="D4" s="5" t="s">
        <v>73</v>
      </c>
      <c r="E4" s="116" t="s">
        <v>74</v>
      </c>
      <c r="F4" s="129" t="s">
        <v>75</v>
      </c>
      <c r="G4" s="32"/>
      <c r="H4" s="92"/>
      <c r="I4" s="92"/>
      <c r="J4" s="181" t="s">
        <v>29</v>
      </c>
      <c r="K4" s="182"/>
      <c r="L4" s="152" t="s">
        <v>104</v>
      </c>
      <c r="M4" s="32"/>
      <c r="N4" s="42"/>
      <c r="O4" s="105"/>
      <c r="Q4" s="95" t="s">
        <v>105</v>
      </c>
      <c r="R4" s="95" t="str">
        <f>E30</f>
        <v>OK</v>
      </c>
      <c r="S4" s="145">
        <f>1.2/(O30/O29)</f>
        <v>0.509796168158272</v>
      </c>
      <c r="W4" s="96" t="s">
        <v>31</v>
      </c>
      <c r="X4" s="97">
        <v>34</v>
      </c>
    </row>
    <row r="5" spans="8:24" ht="13.5">
      <c r="H5" s="6"/>
      <c r="I5" s="6"/>
      <c r="J5" s="181"/>
      <c r="K5" s="182"/>
      <c r="L5" s="153" t="s">
        <v>104</v>
      </c>
      <c r="M5" s="1"/>
      <c r="P5" s="4"/>
      <c r="Q5" s="95" t="s">
        <v>106</v>
      </c>
      <c r="R5" s="140" t="str">
        <f>F35</f>
        <v>OK</v>
      </c>
      <c r="S5" s="145">
        <f>3/(K21/1000/O34)</f>
        <v>0.7100732342204503</v>
      </c>
      <c r="W5" s="96" t="s">
        <v>32</v>
      </c>
      <c r="X5" s="97">
        <v>32</v>
      </c>
    </row>
    <row r="6" spans="3:24" ht="14.25">
      <c r="C6" s="4" t="str">
        <f>IF($H$6=0,"コンクリート圧縮強度","ブロック圧縮強度")</f>
        <v>ブロック圧縮強度</v>
      </c>
      <c r="D6" s="160">
        <f>IF($H$6=0,21,IF(I21="A種",4,IF(I21="B種",6,IF(I21="C種",8,0))))</f>
        <v>4</v>
      </c>
      <c r="E6" s="5" t="s">
        <v>0</v>
      </c>
      <c r="G6" s="51">
        <v>1400</v>
      </c>
      <c r="H6" s="93">
        <v>1200</v>
      </c>
      <c r="I6" s="6"/>
      <c r="J6" s="12"/>
      <c r="L6" s="152" t="s">
        <v>104</v>
      </c>
      <c r="M6" s="9"/>
      <c r="N6" s="11"/>
      <c r="O6" s="40"/>
      <c r="P6" s="11"/>
      <c r="Q6" s="95" t="s">
        <v>107</v>
      </c>
      <c r="R6" s="141">
        <f>O36</f>
        <v>39.497332349803166</v>
      </c>
      <c r="S6" s="144" t="s">
        <v>13</v>
      </c>
      <c r="W6" s="96" t="s">
        <v>33</v>
      </c>
      <c r="X6" s="97">
        <v>34</v>
      </c>
    </row>
    <row r="7" spans="8:24" ht="13.5" hidden="1">
      <c r="H7" s="6"/>
      <c r="I7" s="6"/>
      <c r="L7" s="152" t="s">
        <v>104</v>
      </c>
      <c r="M7" s="9"/>
      <c r="P7" s="12" t="s">
        <v>3</v>
      </c>
      <c r="Q7" s="95"/>
      <c r="R7" s="95"/>
      <c r="S7" s="143"/>
      <c r="W7" s="96" t="s">
        <v>34</v>
      </c>
      <c r="X7" s="97">
        <v>32</v>
      </c>
    </row>
    <row r="8" spans="8:24" ht="13.5" hidden="1">
      <c r="H8" s="6"/>
      <c r="I8" s="6"/>
      <c r="L8" s="152" t="s">
        <v>104</v>
      </c>
      <c r="M8" s="9"/>
      <c r="O8" s="13">
        <v>1</v>
      </c>
      <c r="P8" s="12" t="s">
        <v>4</v>
      </c>
      <c r="Q8" s="95"/>
      <c r="R8" s="95"/>
      <c r="S8" s="143"/>
      <c r="W8" s="96" t="s">
        <v>35</v>
      </c>
      <c r="X8" s="97">
        <v>34</v>
      </c>
    </row>
    <row r="9" spans="7:24" ht="13.5" hidden="1">
      <c r="G9" s="49"/>
      <c r="H9" s="50"/>
      <c r="I9" s="50"/>
      <c r="L9" s="152" t="s">
        <v>104</v>
      </c>
      <c r="M9" s="10"/>
      <c r="N9" s="15"/>
      <c r="P9" s="12" t="s">
        <v>5</v>
      </c>
      <c r="Q9" s="95"/>
      <c r="R9" s="95"/>
      <c r="S9" s="143"/>
      <c r="W9" s="96" t="s">
        <v>36</v>
      </c>
      <c r="X9" s="97">
        <v>34</v>
      </c>
    </row>
    <row r="10" spans="2:24" ht="13.5" hidden="1">
      <c r="B10" s="15"/>
      <c r="G10" s="16"/>
      <c r="H10" s="6"/>
      <c r="I10" s="6"/>
      <c r="L10" s="152" t="s">
        <v>104</v>
      </c>
      <c r="M10" s="10"/>
      <c r="P10" s="12"/>
      <c r="Q10" s="95"/>
      <c r="R10" s="95"/>
      <c r="S10" s="143"/>
      <c r="W10" s="96" t="s">
        <v>37</v>
      </c>
      <c r="X10" s="97">
        <v>34</v>
      </c>
    </row>
    <row r="11" spans="3:24" ht="13.5" customHeight="1">
      <c r="C11" s="4" t="s">
        <v>2</v>
      </c>
      <c r="D11" s="8">
        <f>MIN(D6/30,0.49+D6/100)*IF(A3="短期",1.5,1)</f>
        <v>0.2</v>
      </c>
      <c r="E11" s="5" t="s">
        <v>1</v>
      </c>
      <c r="G11" s="94" t="str">
        <f>IF($H$6=0,"(RCの高さ)","(CBの高さ)")</f>
        <v>(CBの高さ)</v>
      </c>
      <c r="H11" s="197" t="s">
        <v>28</v>
      </c>
      <c r="I11" s="6"/>
      <c r="L11" s="153" t="s">
        <v>104</v>
      </c>
      <c r="M11" s="52" t="str">
        <f>IF(A2="","",A2)</f>
        <v>CB100 A種</v>
      </c>
      <c r="O11" s="12"/>
      <c r="P11" s="12"/>
      <c r="Q11" s="193" t="s">
        <v>108</v>
      </c>
      <c r="R11" s="95" t="str">
        <f>G47</f>
        <v> OK </v>
      </c>
      <c r="S11" s="145">
        <f>H47</f>
        <v>0.29123900564060134</v>
      </c>
      <c r="W11" s="96" t="s">
        <v>38</v>
      </c>
      <c r="X11" s="97">
        <v>34</v>
      </c>
    </row>
    <row r="12" spans="3:24" ht="13.5" customHeight="1">
      <c r="C12" s="4" t="s">
        <v>6</v>
      </c>
      <c r="D12" s="128">
        <v>0.5</v>
      </c>
      <c r="E12" s="3"/>
      <c r="G12" s="16"/>
      <c r="H12" s="197"/>
      <c r="I12" s="6"/>
      <c r="K12" s="132">
        <v>100</v>
      </c>
      <c r="L12" s="154" t="s">
        <v>104</v>
      </c>
      <c r="M12" s="17"/>
      <c r="O12" s="18">
        <f>IF(G6&gt;2000,150,100)</f>
        <v>100</v>
      </c>
      <c r="P12" s="18"/>
      <c r="Q12" s="193"/>
      <c r="R12" s="95" t="str">
        <f>G52</f>
        <v> OK </v>
      </c>
      <c r="S12" s="145">
        <f>H52</f>
        <v>0.14561950282030067</v>
      </c>
      <c r="T12" s="39"/>
      <c r="W12" s="96" t="s">
        <v>39</v>
      </c>
      <c r="X12" s="97">
        <v>34</v>
      </c>
    </row>
    <row r="13" spans="8:24" ht="13.5" customHeight="1">
      <c r="H13" s="197"/>
      <c r="I13" s="6"/>
      <c r="K13" s="131" t="s">
        <v>16</v>
      </c>
      <c r="L13" s="155" t="s">
        <v>104</v>
      </c>
      <c r="M13" s="17"/>
      <c r="O13" s="18"/>
      <c r="P13" s="18"/>
      <c r="Q13" s="95" t="s">
        <v>109</v>
      </c>
      <c r="R13" s="95" t="str">
        <f>G44</f>
        <v> OK </v>
      </c>
      <c r="S13" s="145">
        <f>B44/D44</f>
        <v>0.1948440954700916</v>
      </c>
      <c r="T13" s="39"/>
      <c r="W13" s="96" t="s">
        <v>40</v>
      </c>
      <c r="X13" s="97">
        <v>32</v>
      </c>
    </row>
    <row r="14" spans="1:24" ht="13.5" customHeight="1">
      <c r="A14" s="95" t="s">
        <v>88</v>
      </c>
      <c r="H14" s="53"/>
      <c r="I14" s="53"/>
      <c r="L14" s="183">
        <f>H6/200</f>
        <v>6</v>
      </c>
      <c r="M14" s="1"/>
      <c r="O14" s="18"/>
      <c r="P14" s="18"/>
      <c r="Q14" s="38"/>
      <c r="R14" s="39"/>
      <c r="S14" s="38"/>
      <c r="T14" s="39"/>
      <c r="W14" s="96" t="s">
        <v>41</v>
      </c>
      <c r="X14" s="97">
        <v>34</v>
      </c>
    </row>
    <row r="15" spans="1:24" ht="13.5" customHeight="1">
      <c r="A15" s="115" t="s">
        <v>78</v>
      </c>
      <c r="B15" s="114">
        <f>0.6*((IF((G6/1000)&gt;IF(F4="Ⅰ",5,IF(F4="Ⅱ",5,IF(F4="Ⅲ",5,IF(F4="Ⅳ",10,"?")))),1.7*((G6/1000)/IF(F4="Ⅰ",250,IF(F4="Ⅱ",350,IF(F4="Ⅲ",450,IF(F4="Ⅳ",450,"?")))))^S18,1.7*(IF(F4="Ⅰ",5,IF(F4="Ⅱ",5,IF(F4="Ⅲ",5,IF(F4="Ⅳ",10,"?"))))/IF(F4="Ⅰ",250,IF(F4="Ⅱ",350,IF(F4="Ⅲ",450,IF(F4="Ⅳ",450,"?")))))^S18))^2*S17)*C4^2</f>
        <v>828.418773257192</v>
      </c>
      <c r="C15" s="104" t="s">
        <v>79</v>
      </c>
      <c r="G15" s="16"/>
      <c r="H15" s="7"/>
      <c r="I15" s="88"/>
      <c r="L15" s="184"/>
      <c r="M15" s="10"/>
      <c r="W15" s="96" t="s">
        <v>42</v>
      </c>
      <c r="X15" s="97">
        <v>34</v>
      </c>
    </row>
    <row r="16" spans="1:25" ht="18" customHeight="1">
      <c r="A16" s="115" t="s">
        <v>87</v>
      </c>
      <c r="B16" s="117">
        <f>ABS(S21-S22)</f>
        <v>1.2000000000000002</v>
      </c>
      <c r="F16" s="130" t="s">
        <v>98</v>
      </c>
      <c r="G16" s="124"/>
      <c r="H16" s="118">
        <f>G6-H6</f>
        <v>200</v>
      </c>
      <c r="I16" s="22"/>
      <c r="J16" s="86"/>
      <c r="K16" s="139"/>
      <c r="L16" s="146" t="s">
        <v>26</v>
      </c>
      <c r="M16" s="87"/>
      <c r="N16" s="86"/>
      <c r="W16" s="96" t="s">
        <v>43</v>
      </c>
      <c r="X16" s="97">
        <v>32</v>
      </c>
      <c r="Y16" s="12" t="s">
        <v>83</v>
      </c>
    </row>
    <row r="17" spans="1:25" ht="19.5" customHeight="1">
      <c r="A17" s="115" t="s">
        <v>99</v>
      </c>
      <c r="B17" s="165">
        <f>B15*B16</f>
        <v>994.1025279086306</v>
      </c>
      <c r="C17" s="104" t="s">
        <v>79</v>
      </c>
      <c r="G17" s="195">
        <v>600</v>
      </c>
      <c r="H17" s="127">
        <f>G17-H18</f>
        <v>200</v>
      </c>
      <c r="I17" s="22"/>
      <c r="K17" s="156" t="s">
        <v>111</v>
      </c>
      <c r="L17" s="147" t="s">
        <v>27</v>
      </c>
      <c r="M17" s="157" t="s">
        <v>111</v>
      </c>
      <c r="N17" s="11"/>
      <c r="O17" s="13"/>
      <c r="R17" s="100" t="s">
        <v>77</v>
      </c>
      <c r="S17" s="107">
        <f>IF(F4="Ⅰ",IF(G6/1000&lt;10,2,IF(G6/1000&gt;40,1.8,2-0.2/30*(G6/1000-10))),IF(F4="Ⅱ",IF(G6/1000&lt;10,2.2,IF(G6/1000&gt;40,2,2.2-0.2/30*(G6/1000-10))),IF(F4="Ⅲ",IF(G6/1000&lt;10,2.5,IF(G6/1000&gt;40,2.1,2.5-0.4/30*(G6/1000-10))),IF(F4="Ⅳ",IF(G6/1000&lt;10,3.1,IF(G6/1000&gt;40,2.3,3.1-0.8/30*(G6/1000-10))),"?"))))</f>
        <v>2.5</v>
      </c>
      <c r="W17" s="96" t="s">
        <v>44</v>
      </c>
      <c r="X17" s="97">
        <v>34</v>
      </c>
      <c r="Y17" s="12" t="s">
        <v>84</v>
      </c>
    </row>
    <row r="18" spans="1:25" ht="19.5" customHeight="1">
      <c r="A18" s="37" t="str">
        <f>"M ="</f>
        <v>M =</v>
      </c>
      <c r="B18" s="8">
        <f>B17/1000*G6/1000*G6/1000/2</f>
        <v>0.974220477350458</v>
      </c>
      <c r="C18" s="20" t="s">
        <v>30</v>
      </c>
      <c r="G18" s="196"/>
      <c r="H18" s="126">
        <v>400</v>
      </c>
      <c r="I18" s="121"/>
      <c r="K18" s="149"/>
      <c r="L18" s="148"/>
      <c r="M18" s="150"/>
      <c r="O18" s="11"/>
      <c r="R18" s="100" t="s">
        <v>76</v>
      </c>
      <c r="S18" s="106">
        <f>IF(F4="Ⅰ",0.1,IF(F4="Ⅱ",0.15,IF(F4="Ⅲ",0.2,IF(F4="Ⅳ",0.2,"?"))))</f>
        <v>0.2</v>
      </c>
      <c r="W18" s="96" t="s">
        <v>45</v>
      </c>
      <c r="X18" s="97">
        <v>34</v>
      </c>
      <c r="Y18" s="12" t="s">
        <v>85</v>
      </c>
    </row>
    <row r="19" spans="1:25" ht="19.5" customHeight="1">
      <c r="A19" s="56" t="str">
        <f>"Q ="</f>
        <v>Q =</v>
      </c>
      <c r="B19" s="8">
        <f>B17/1000*G6/1000</f>
        <v>1.391743539072083</v>
      </c>
      <c r="C19" s="20" t="s">
        <v>24</v>
      </c>
      <c r="I19" s="54" t="s">
        <v>15</v>
      </c>
      <c r="K19" s="10"/>
      <c r="L19" s="10"/>
      <c r="M19" s="10"/>
      <c r="P19" s="55"/>
      <c r="S19" s="107">
        <f>0.8*IF(G6/1000&lt;IF(F4="Ⅰ",5,IF(F4="Ⅱ",5,IF(F4="Ⅲ",5,IF(F4="Ⅳ",10,"?")))),1,IF(G6/1000&lt;IF(F4="Ⅰ",5,IF(F4="Ⅱ",5,IF(F4="Ⅲ",5,IF(F4="Ⅳ",10,"?")))),(IF(F4="Ⅰ",5,IF(F4="Ⅱ",5,IF(F4="Ⅲ",5,IF(F4="Ⅳ",10,"?"))))/(G6/1000))^(2*S18),(G6/1000/(G6/1000))^(2*S18)))</f>
        <v>0.8</v>
      </c>
      <c r="W19" s="96" t="s">
        <v>46</v>
      </c>
      <c r="X19" s="97">
        <v>34</v>
      </c>
      <c r="Y19" s="12" t="s">
        <v>86</v>
      </c>
    </row>
    <row r="20" spans="11:25" ht="19.5" customHeight="1">
      <c r="K20" s="133">
        <v>300</v>
      </c>
      <c r="L20" s="134">
        <f>K12</f>
        <v>100</v>
      </c>
      <c r="M20" s="134">
        <f>K21-K20-L20</f>
        <v>300</v>
      </c>
      <c r="P20" s="55"/>
      <c r="R20" s="110" t="s">
        <v>80</v>
      </c>
      <c r="S20" s="107">
        <f>IF(G6/1000&lt;IF(F4="Ⅰ",5,IF(F4="Ⅱ",5,IF(F4="Ⅲ",5,IF(F4="Ⅳ",10,"?")))),1,IF(G6/1000&lt;IF(F4="Ⅰ",5,IF(F4="Ⅱ",5,IF(F4="Ⅲ",5,IF(F4="Ⅳ",10,"?")))),(IF(F4="Ⅰ",5,IF(F4="Ⅱ",5,IF(F4="Ⅲ",5,IF(F4="Ⅳ",10,"?"))))/(G6/1000))^(2*S18),(G6/1000/(G6/1000))^(2*S18)))</f>
        <v>1</v>
      </c>
      <c r="W20" s="96" t="s">
        <v>47</v>
      </c>
      <c r="X20" s="97">
        <v>32</v>
      </c>
      <c r="Y20" s="2"/>
    </row>
    <row r="21" spans="1:25" ht="19.5" customHeight="1">
      <c r="A21" s="95" t="s">
        <v>89</v>
      </c>
      <c r="G21" s="4" t="s">
        <v>114</v>
      </c>
      <c r="H21" s="158" t="s">
        <v>179</v>
      </c>
      <c r="I21" s="159" t="s">
        <v>180</v>
      </c>
      <c r="K21" s="188">
        <v>700</v>
      </c>
      <c r="L21" s="189"/>
      <c r="M21" s="190"/>
      <c r="P21" s="2"/>
      <c r="R21" s="100" t="s">
        <v>81</v>
      </c>
      <c r="S21" s="111">
        <f>IF(O4="閉鎖型",IF(S19&lt;0.7-0.2,-0.7,S19),IF(O4="風上開放",-0.7,S19))</f>
        <v>0.8</v>
      </c>
      <c r="W21" s="96" t="s">
        <v>48</v>
      </c>
      <c r="X21" s="97">
        <v>32</v>
      </c>
      <c r="Y21" s="2"/>
    </row>
    <row r="22" spans="1:25" ht="18" customHeight="1">
      <c r="A22" s="37" t="str">
        <f>"Csi ="</f>
        <v>Csi =</v>
      </c>
      <c r="B22" s="8">
        <f>O22*(1-(G6-G6)/G6)</f>
        <v>0.5</v>
      </c>
      <c r="O22" s="179">
        <v>0.5</v>
      </c>
      <c r="P22" s="2"/>
      <c r="R22" s="100" t="s">
        <v>82</v>
      </c>
      <c r="S22" s="111">
        <f>IF(O4="閉鎖型",IF(S19&lt;0.7-0.2,0,-0.2),IF(O4="風上開放",0.6,-0.4))</f>
        <v>-0.4</v>
      </c>
      <c r="W22" s="96" t="s">
        <v>49</v>
      </c>
      <c r="X22" s="97">
        <v>34</v>
      </c>
      <c r="Y22" s="2"/>
    </row>
    <row r="23" spans="1:24" ht="18" customHeight="1">
      <c r="A23" s="37" t="str">
        <f>"M ="</f>
        <v>M =</v>
      </c>
      <c r="B23" s="8">
        <f>0.4*G6/1000*B22*L23*H6/1000</f>
        <v>0.3696000000000001</v>
      </c>
      <c r="C23" s="20" t="s">
        <v>30</v>
      </c>
      <c r="K23" s="4" t="s">
        <v>118</v>
      </c>
      <c r="L23" s="187">
        <f>IF($H$6=0,L24,IF(H21="軽量",IF(I21="A種",IF(K12=100,1.1,IF(K12=120,1.5,IF(K12=150,2,K12/1000*O23))),IF(I21="B種",IF(K12=150,2.3,IF(K12=190,3.1,K12/1000*O23)),K12/1000*O23)),IF(K12=150,2.6,IF(K12=190,3.5,K12/1000*O23))))</f>
        <v>1.1</v>
      </c>
      <c r="M23" s="187"/>
      <c r="N23" s="20" t="s">
        <v>13</v>
      </c>
      <c r="O23" s="180">
        <v>14</v>
      </c>
      <c r="P23" s="2"/>
      <c r="W23" s="96" t="s">
        <v>50</v>
      </c>
      <c r="X23" s="97">
        <v>32</v>
      </c>
    </row>
    <row r="24" spans="1:24" ht="18" customHeight="1">
      <c r="A24" s="56" t="str">
        <f>"Q ="</f>
        <v>Q =</v>
      </c>
      <c r="B24" s="8">
        <f>B22*L23*H6/1000</f>
        <v>0.66</v>
      </c>
      <c r="C24" s="20" t="s">
        <v>24</v>
      </c>
      <c r="K24" s="4" t="s">
        <v>122</v>
      </c>
      <c r="L24" s="187">
        <f>K12/1000*24</f>
        <v>2.4000000000000004</v>
      </c>
      <c r="M24" s="187"/>
      <c r="N24" s="20" t="s">
        <v>13</v>
      </c>
      <c r="S24" s="12" t="s">
        <v>112</v>
      </c>
      <c r="W24" s="96" t="s">
        <v>51</v>
      </c>
      <c r="X24" s="97">
        <v>32</v>
      </c>
    </row>
    <row r="25" spans="7:24" ht="18" customHeight="1">
      <c r="G25" s="25"/>
      <c r="O25" s="26">
        <f>IF(MAX(C47,D47)=10,11,IF(MAX(C47,D47)=13,14,IF(MAX(C47,D47)=16,18,IF(MAX(C47,D47)=19,21,IF(MAX(C47,D47)=22,25,IF(MAX(C47,D47)=25,28,"?"))))))</f>
        <v>14</v>
      </c>
      <c r="P25" s="26">
        <f>IF(MAX(C52,D52)=10,11,IF(MAX(C52,D52)=13,14,IF(MAX(C52,D52)=16,18,IF(MAX(C52,D52)=19,21,IF(MAX(C52,D52)=22,25,IF(MAX(C52,D52)=25,28,"?"))))))</f>
        <v>14</v>
      </c>
      <c r="Q25" s="28"/>
      <c r="S25" s="12" t="s">
        <v>113</v>
      </c>
      <c r="W25" s="96" t="s">
        <v>52</v>
      </c>
      <c r="X25" s="97">
        <v>34</v>
      </c>
    </row>
    <row r="26" spans="2:24" ht="18" customHeight="1">
      <c r="B26" s="12"/>
      <c r="G26" s="25"/>
      <c r="K26" s="4" t="s">
        <v>17</v>
      </c>
      <c r="L26" s="192">
        <f>K12</f>
        <v>100</v>
      </c>
      <c r="M26" s="192"/>
      <c r="N26" s="14" t="s">
        <v>7</v>
      </c>
      <c r="O26" s="11"/>
      <c r="P26" s="27"/>
      <c r="Q26" s="28"/>
      <c r="S26" s="2"/>
      <c r="W26" s="96" t="s">
        <v>53</v>
      </c>
      <c r="X26" s="97">
        <v>32</v>
      </c>
    </row>
    <row r="27" spans="1:24" ht="18" customHeight="1">
      <c r="A27" s="31" t="s">
        <v>100</v>
      </c>
      <c r="K27" s="4" t="s">
        <v>8</v>
      </c>
      <c r="L27" s="192">
        <f>L26/2</f>
        <v>50</v>
      </c>
      <c r="M27" s="192"/>
      <c r="N27" s="14" t="s">
        <v>7</v>
      </c>
      <c r="O27" s="11"/>
      <c r="P27" s="27"/>
      <c r="Q27" s="28"/>
      <c r="S27" s="12" t="s">
        <v>115</v>
      </c>
      <c r="W27" s="96" t="s">
        <v>54</v>
      </c>
      <c r="X27" s="97">
        <v>32</v>
      </c>
    </row>
    <row r="28" spans="1:24" ht="18" customHeight="1">
      <c r="A28" s="56" t="str">
        <f>"Q ="</f>
        <v>Q =</v>
      </c>
      <c r="B28" s="122" t="str">
        <f>IF(B17/1000*G6/1000&gt;B24+L23*H16/1000*B22," "&amp;FIXED(B17/1000,3)&amp;" x "&amp;FIXED(G6/1000,2)&amp;"  =  "&amp;FIXED(O29,2)," "&amp;FIXED(B24,2)&amp;" + "&amp;FIXED(L23,2)&amp;" x "&amp;FIXED(H16/1000,2)&amp;" x "&amp;FIXED(B22,2)&amp;"  =  "&amp;FIXED(O29,2))</f>
        <v> 0.994 x 1.40  =  1.39</v>
      </c>
      <c r="E28" s="162"/>
      <c r="K28" s="4" t="s">
        <v>9</v>
      </c>
      <c r="L28" s="192">
        <f>L27*5/7</f>
        <v>35.714285714285715</v>
      </c>
      <c r="M28" s="192"/>
      <c r="N28" s="14" t="s">
        <v>7</v>
      </c>
      <c r="O28" s="11"/>
      <c r="P28" s="27"/>
      <c r="Q28" s="28"/>
      <c r="S28" s="12" t="s">
        <v>116</v>
      </c>
      <c r="W28" s="96" t="s">
        <v>55</v>
      </c>
      <c r="X28" s="97">
        <v>32</v>
      </c>
    </row>
    <row r="29" spans="1:24" ht="18" customHeight="1">
      <c r="A29" s="119" t="s">
        <v>90</v>
      </c>
      <c r="B29" s="198" t="str">
        <f>" "&amp;FIXED(L30,2)&amp;" x "&amp;FIXED(0.3,2)&amp;"  =  "&amp;FIXED(L30*0.3,2)</f>
        <v> 10.92 x 0.30  =  3.28</v>
      </c>
      <c r="C29" s="198"/>
      <c r="D29" s="198"/>
      <c r="E29" s="162"/>
      <c r="H29" s="29"/>
      <c r="I29" s="29"/>
      <c r="O29" s="38">
        <f>IF(B17/1000*G6/1000&gt;B24+L23*H16/1000*B22,(B17/1000)*(G6/1000),B24+L23*(H16/1000)*B22)</f>
        <v>1.3917435390720827</v>
      </c>
      <c r="P29" s="27"/>
      <c r="Q29" s="28"/>
      <c r="S29" s="12" t="s">
        <v>117</v>
      </c>
      <c r="W29" s="96" t="s">
        <v>56</v>
      </c>
      <c r="X29" s="97">
        <v>32</v>
      </c>
    </row>
    <row r="30" spans="1:24" ht="18" customHeight="1">
      <c r="A30" s="120" t="str">
        <f>"Fs ="</f>
        <v>Fs =</v>
      </c>
      <c r="B30" s="199" t="str">
        <f>IF(O30/O29&gt;1.2," "&amp;FIXED(O30,2)&amp;" / "&amp;FIXED(O29,2)&amp;" = "&amp;FIXED(O30/O29,2)&amp;"  &gt;  "&amp;FIXED(1.2,1)," "&amp;FIXED(O30,2)&amp;" / "&amp;FIXED(O29,2)&amp;" = "&amp;FIXED(O30/O29,2)&amp;"  &lt;  "&amp;FIXED(1.2,1))</f>
        <v> 3.28 / 1.39 = 2.35  &gt;  1.2</v>
      </c>
      <c r="C30" s="199"/>
      <c r="D30" s="199"/>
      <c r="E30" s="135" t="str">
        <f>IF(O30/O29&gt;1.2,"OK","NG")</f>
        <v>OK</v>
      </c>
      <c r="H30" s="29"/>
      <c r="I30" s="29"/>
      <c r="K30" s="4" t="s">
        <v>91</v>
      </c>
      <c r="L30" s="187">
        <f>L23*H6/1000+(K12/1000*(H16+H17)/1000+K21/1000*H18/1000)*24+H17/1000*(K21-L20)/1000*16</f>
        <v>10.92</v>
      </c>
      <c r="M30" s="187"/>
      <c r="N30" s="20" t="s">
        <v>92</v>
      </c>
      <c r="O30" s="38">
        <f>L30*0.3</f>
        <v>3.276</v>
      </c>
      <c r="P30" s="27"/>
      <c r="Q30" s="28"/>
      <c r="W30" s="96" t="s">
        <v>103</v>
      </c>
      <c r="X30" s="97">
        <v>34</v>
      </c>
    </row>
    <row r="31" spans="8:24" ht="18" customHeight="1">
      <c r="H31" s="29"/>
      <c r="I31" s="29"/>
      <c r="K31" s="4"/>
      <c r="M31" s="23"/>
      <c r="N31" s="14"/>
      <c r="O31" s="11"/>
      <c r="P31" s="27"/>
      <c r="Q31" s="28"/>
      <c r="W31" s="96" t="s">
        <v>57</v>
      </c>
      <c r="X31" s="97">
        <v>34</v>
      </c>
    </row>
    <row r="32" spans="1:24" ht="18" customHeight="1">
      <c r="A32" s="31" t="s">
        <v>102</v>
      </c>
      <c r="B32" s="24"/>
      <c r="N32" s="54"/>
      <c r="P32" s="2"/>
      <c r="W32" s="96" t="s">
        <v>58</v>
      </c>
      <c r="X32" s="97">
        <v>34</v>
      </c>
    </row>
    <row r="33" spans="1:24" ht="18" customHeight="1">
      <c r="A33" s="123" t="s">
        <v>93</v>
      </c>
      <c r="B33" s="194" t="str">
        <f>IF(B17/1000*G6/1000*G6/1000/2+(L23*H6+K12/1000*24*(H16+H17))/1000*ABS(K21/2-K20-L20/2)/1000&gt;B23+B24*(H16/1000)+(L23*H6+K12/1000*24*(H16+H17))/1000*ABS(K21/2-K20-L20/2)/1000," "&amp;FIXED(B17/1000,3)&amp;" x "&amp;FIXED(G6/1000,2)&amp;" x "&amp;FIXED((G6/1000/2)+(G17/1000),2)&amp;" + ( "&amp;FIXED(L23,2)&amp;" x "&amp;FIXED((H6)/1000,2)&amp;" + "&amp;FIXED(K12/1000*24,2)&amp;" x "&amp;FIXED((H16+H17)/1000,2)&amp;" ) x "&amp;FIXED(ABS(K21/2-K20-L20/2)/1000,2)&amp;"  =  "&amp;FIXED(O33,2)," "&amp;FIXED(B23,2)&amp;" + "&amp;FIXED(B24,2)&amp;" x "&amp;FIXED((H16+G17)/1000,2)&amp;" + ( "&amp;FIXED(L23,2)&amp;" x "&amp;FIXED((H6)/1000,2)&amp;" + "&amp;FIXED(K12/1000*24,2)&amp;" x "&amp;FIXED((H16+H17)/1000,2)&amp;" ) x "&amp;FIXED(ABS(K21/2-K20-L20/2)/1000,2)&amp;"  =  "&amp;FIXED(O33,2))</f>
        <v> 0.994 x 1.40 x 1.30 + ( 1.10 x 1.20 + 2.40 x 0.40 ) x 0.00  =  1.81</v>
      </c>
      <c r="C33" s="194"/>
      <c r="D33" s="194"/>
      <c r="E33" s="194"/>
      <c r="F33" s="194"/>
      <c r="G33" s="194"/>
      <c r="H33" s="194"/>
      <c r="I33" s="163" t="s">
        <v>30</v>
      </c>
      <c r="O33" s="38">
        <f>IF(B17/1000*G6/1000*G6/1000/2+(L23*H6+K12/1000*24*(H16+H17))/1000*ABS(K21/2-K20-L20/2)/1000&gt;B23+B24*(H16/1000)+(L23*H6+K12/1000*24*(H16+H17))/1000*ABS(K21/2-K20-L20/2)/1000,B17/1000*G6/1000*(G6/1000/2+G17/1000)+(L23*H6+K12/1000*24*(H16+H17))/1000*ABS(K21/2-K20-L20/2)/1000,B23+B24*((H16+G17)/1000)+(L23*H6+K12/1000*24*(H16+H17))/1000*ABS(K21/2-K20-L20/2)/1000)</f>
        <v>1.8092666007937075</v>
      </c>
      <c r="W33" s="96" t="s">
        <v>59</v>
      </c>
      <c r="X33" s="97">
        <v>32</v>
      </c>
    </row>
    <row r="34" spans="1:24" ht="18" customHeight="1">
      <c r="A34" s="4" t="s">
        <v>94</v>
      </c>
      <c r="B34" s="194" t="str">
        <f>" "&amp;FIXED(O33,2)&amp;" / "&amp;FIXED(L30,2)&amp;"  =  "&amp;FIXED(O33/L30,2)</f>
        <v> 1.81 / 10.92  =  0.17</v>
      </c>
      <c r="C34" s="194"/>
      <c r="D34" s="194"/>
      <c r="E34" s="164" t="s">
        <v>120</v>
      </c>
      <c r="H34" s="30"/>
      <c r="I34" s="30"/>
      <c r="M34" s="1"/>
      <c r="O34" s="38">
        <f>O33/L30</f>
        <v>0.16568375465143842</v>
      </c>
      <c r="P34" s="57" t="s">
        <v>19</v>
      </c>
      <c r="Q34" s="28">
        <f>B23/(Q47*1000/E47)/L28*10^6</f>
        <v>32.594645669291346</v>
      </c>
      <c r="W34" s="96" t="s">
        <v>60</v>
      </c>
      <c r="X34" s="97">
        <v>32</v>
      </c>
    </row>
    <row r="35" spans="1:25" ht="18" customHeight="1">
      <c r="A35" s="4" t="s">
        <v>95</v>
      </c>
      <c r="B35" s="122" t="str">
        <f>IF(1/(O34/K21*1000)&gt;2," "&amp;FIXED(O34,2)&amp;" / "&amp;FIXED(K21/1000,2)&amp;"   =   1/"&amp;FIXED(1/(O34/K21*1000),2)&amp;"   &lt;   1/3"," "&amp;FIXED(O34,2)&amp;" / "&amp;FIXED(K21/1000,2)&amp;"   =   1/"&amp;FIXED(1/(O34/K21*1000),2)&amp;"   &gt;   1/3")</f>
        <v> 0.17 / 0.70   =   1/4.22   &lt;   1/3</v>
      </c>
      <c r="F35" s="136" t="str">
        <f>IF(1/(O34/K21*1000)&gt;3,"OK","NG")</f>
        <v>OK</v>
      </c>
      <c r="H35" s="30"/>
      <c r="I35" s="30"/>
      <c r="M35" s="1"/>
      <c r="N35" s="4" t="s">
        <v>178</v>
      </c>
      <c r="O35" s="38">
        <f>1/(O34/K21*1000)</f>
        <v>4.224916326121674</v>
      </c>
      <c r="P35" s="57"/>
      <c r="Q35" s="28"/>
      <c r="W35" s="96" t="s">
        <v>61</v>
      </c>
      <c r="X35" s="97">
        <v>32</v>
      </c>
      <c r="Y35" s="97">
        <v>30</v>
      </c>
    </row>
    <row r="36" spans="1:24" ht="18" customHeight="1">
      <c r="A36" s="4" t="s">
        <v>101</v>
      </c>
      <c r="B36" s="194" t="str">
        <f>IF(O35&gt;6," "&amp;FIXED(L30,2)&amp;" / "&amp;FIXED(K21/1000,2)&amp;" x ( 1 + 6 / "&amp;FIXED(1/(O34/K21*1000),2)&amp;" )   =   "&amp;FIXED(O36,1)," "&amp;FIXED(L30,2)&amp;" / "&amp;FIXED(K21/1000,2)&amp;" x 2/3/( 1/2-1/"&amp;FIXED(1/(O34/K21*1000),2)&amp;" )  =  "&amp;FIXED(O36,1))</f>
        <v> 10.92 / 0.70 x 2/3/( 1/2-1/4.22 )  =  39.5</v>
      </c>
      <c r="C36" s="194"/>
      <c r="D36" s="194"/>
      <c r="E36" s="194"/>
      <c r="F36" s="31" t="s">
        <v>121</v>
      </c>
      <c r="H36" s="30"/>
      <c r="I36" s="30"/>
      <c r="K36" s="4"/>
      <c r="L36" s="191" t="str">
        <f>IF(N36&gt;O36,"OK","NG")</f>
        <v>OK</v>
      </c>
      <c r="M36" s="191"/>
      <c r="N36" s="178">
        <v>100</v>
      </c>
      <c r="O36" s="59">
        <f>IF(O35&gt;6,L30/K21*1000*(1+6*(O34/K21*1000)),L30/K21*1000*(2/3/(1/2-1/O35)))</f>
        <v>39.497332349803166</v>
      </c>
      <c r="P36" s="57"/>
      <c r="Q36" s="28"/>
      <c r="W36" s="96" t="s">
        <v>62</v>
      </c>
      <c r="X36" s="97">
        <v>32</v>
      </c>
    </row>
    <row r="37" spans="5:24" ht="18" customHeight="1">
      <c r="E37" s="161" t="s">
        <v>119</v>
      </c>
      <c r="N37" s="177" t="s">
        <v>119</v>
      </c>
      <c r="W37" s="96" t="s">
        <v>63</v>
      </c>
      <c r="X37" s="97">
        <v>32</v>
      </c>
    </row>
    <row r="38" spans="1:24" ht="18" customHeight="1">
      <c r="A38" s="31" t="s">
        <v>96</v>
      </c>
      <c r="W38" s="96" t="s">
        <v>64</v>
      </c>
      <c r="X38" s="97">
        <v>32</v>
      </c>
    </row>
    <row r="39" spans="1:24" ht="18" customHeight="1">
      <c r="A39" s="4" t="s">
        <v>20</v>
      </c>
      <c r="B39" s="24" t="str">
        <f>" "&amp;FIXED(MAX(B18,B23),2)&amp;" / "&amp;FIXED(L39,0)&amp;" / "&amp;FIXED(L28,0)&amp;" x 10^6"</f>
        <v> 0.97 / 295 / 36 x 10^6</v>
      </c>
      <c r="K39" s="4" t="s">
        <v>18</v>
      </c>
      <c r="L39" s="186">
        <f>IF(MIN(C47,D47)&lt;19,IF(A3="短期",295,195),IF(A3="短期",345,215))</f>
        <v>295</v>
      </c>
      <c r="M39" s="186"/>
      <c r="N39" s="14" t="s">
        <v>10</v>
      </c>
      <c r="W39" s="96" t="s">
        <v>65</v>
      </c>
      <c r="X39" s="97">
        <v>34</v>
      </c>
    </row>
    <row r="40" spans="1:24" ht="18" customHeight="1">
      <c r="A40" s="58" t="s">
        <v>21</v>
      </c>
      <c r="B40" s="59">
        <f>MAX(B18,B23)/L39/L28*1000000</f>
        <v>92.46838429089092</v>
      </c>
      <c r="C40" s="14" t="s">
        <v>22</v>
      </c>
      <c r="W40" s="96" t="s">
        <v>66</v>
      </c>
      <c r="X40" s="97">
        <v>32</v>
      </c>
    </row>
    <row r="41" spans="17:24" ht="18" customHeight="1">
      <c r="Q41" s="12"/>
      <c r="R41" s="12"/>
      <c r="S41" s="12"/>
      <c r="W41" s="96" t="s">
        <v>67</v>
      </c>
      <c r="X41" s="97">
        <v>32</v>
      </c>
    </row>
    <row r="42" spans="1:24" ht="18" customHeight="1">
      <c r="A42" s="31" t="s">
        <v>97</v>
      </c>
      <c r="B42" s="24"/>
      <c r="Q42" s="28"/>
      <c r="R42" s="28"/>
      <c r="S42" s="25"/>
      <c r="W42" s="96" t="s">
        <v>68</v>
      </c>
      <c r="X42" s="97">
        <v>34</v>
      </c>
    </row>
    <row r="43" spans="1:24" ht="18" customHeight="1">
      <c r="A43" s="4" t="s">
        <v>23</v>
      </c>
      <c r="B43" s="24" t="str">
        <f>" "&amp;FIXED(MAX(B19,B24),2)&amp;" x 1,000 / 1,000 / "&amp;FIXED(L28,0)</f>
        <v> 1.39 x 1,000 / 1,000 / 36</v>
      </c>
      <c r="Q43" s="28"/>
      <c r="R43" s="28"/>
      <c r="S43" s="25"/>
      <c r="W43" s="96" t="s">
        <v>69</v>
      </c>
      <c r="X43" s="97">
        <v>34</v>
      </c>
    </row>
    <row r="44" spans="1:24" ht="18" customHeight="1">
      <c r="A44" s="58" t="s">
        <v>21</v>
      </c>
      <c r="B44" s="19">
        <f>MAX(B19,B24)*1000/1000/L28</f>
        <v>0.03896881909401832</v>
      </c>
      <c r="C44" s="2" t="str">
        <f>IF(B44&lt;D44,"&lt;  ","&gt;  ")</f>
        <v>&lt;  </v>
      </c>
      <c r="D44" s="19">
        <f>D11</f>
        <v>0.2</v>
      </c>
      <c r="E44" s="14" t="s">
        <v>10</v>
      </c>
      <c r="G44" s="137" t="str">
        <f>IF(B44&lt;D44," OK "," NG ")</f>
        <v> OK </v>
      </c>
      <c r="W44" s="96" t="s">
        <v>70</v>
      </c>
      <c r="X44" s="97">
        <v>32</v>
      </c>
    </row>
    <row r="45" spans="1:2" ht="18" customHeight="1">
      <c r="A45" s="4"/>
      <c r="B45" s="24"/>
    </row>
    <row r="46" spans="1:9" ht="18" customHeight="1">
      <c r="A46" s="4"/>
      <c r="B46" s="24"/>
      <c r="C46" s="14"/>
      <c r="G46" s="138"/>
      <c r="H46" s="60" t="s">
        <v>14</v>
      </c>
      <c r="I46" s="60"/>
    </row>
    <row r="47" spans="1:20" ht="18" customHeight="1">
      <c r="A47" s="32" t="s">
        <v>11</v>
      </c>
      <c r="B47" s="61"/>
      <c r="C47" s="62"/>
      <c r="D47" s="63">
        <v>13</v>
      </c>
      <c r="E47" s="64">
        <v>400</v>
      </c>
      <c r="G47" s="137" t="str">
        <f>IF(B40&lt;=1000/E47*Q47," OK "," NG ")</f>
        <v> OK </v>
      </c>
      <c r="H47" s="44">
        <f>B40/(1000/E47*Q47)</f>
        <v>0.29123900564060134</v>
      </c>
      <c r="I47" s="44"/>
      <c r="J47" s="24" t="str">
        <f>" ( at = "&amp;FIXED(1000/E47*Q47,0)&amp;" (m㎡/m) )"</f>
        <v> ( at = 318 (m㎡/m) )</v>
      </c>
      <c r="O47" s="65">
        <f>IF(C47=10,71,IF(C47=13,127,IF(C47=16,199,IF(C47=19,287,IF(C47=22,387,IF(C47=25,507,0))))))</f>
        <v>0</v>
      </c>
      <c r="P47" s="65">
        <f>IF(D47=10,71,IF(D47=13,127,IF(D47=16,199,IF(D47=19,287,IF(D47=22,387,IF(D47=25,507,0))))))</f>
        <v>127</v>
      </c>
      <c r="Q47" s="66">
        <f>IF(C47="",P47,IF(D47="",O47,(O47+P47)/2))</f>
        <v>127</v>
      </c>
      <c r="R47" s="33">
        <f>IF(C47=10,3,IF(C47=13,4,IF(C47=16,5,IF(C47=19,6,IF(C47=22,7,IF(C47=25,8,0))))))</f>
        <v>0</v>
      </c>
      <c r="S47" s="33">
        <f>IF(D47=10,3,IF(D47=13,4,IF(D47=16,5,IF(D47=19,6,IF(D47=22,7,IF(D47=25,8,0))))))</f>
        <v>4</v>
      </c>
      <c r="T47" s="34">
        <f>IF(C47="",S47,IF(D47="",R47,(R47+S47)/2))</f>
        <v>4</v>
      </c>
    </row>
    <row r="48" spans="1:20" ht="16.5">
      <c r="A48" s="21"/>
      <c r="B48" s="67"/>
      <c r="C48" s="41"/>
      <c r="D48" s="68"/>
      <c r="E48" s="69">
        <f>IF(MAX(E47)&gt;800,"ピッチが800mmを超える",IF((1000/E47*Q47)/K12/10&lt;0.25,"",""))</f>
      </c>
      <c r="F48" s="70"/>
      <c r="G48" s="71"/>
      <c r="H48" s="72"/>
      <c r="I48" s="72"/>
      <c r="J48" s="73"/>
      <c r="K48" s="70"/>
      <c r="L48" s="70"/>
      <c r="M48" s="74"/>
      <c r="N48" s="70"/>
      <c r="O48" s="75"/>
      <c r="P48" s="75"/>
      <c r="Q48" s="76"/>
      <c r="R48" s="77"/>
      <c r="S48" s="77"/>
      <c r="T48" s="78"/>
    </row>
    <row r="49" ht="4.5" customHeight="1">
      <c r="C49" s="41"/>
    </row>
    <row r="50" ht="4.5" customHeight="1">
      <c r="E50" s="35"/>
    </row>
    <row r="51" spans="8:9" ht="15" customHeight="1">
      <c r="H51" s="60" t="s">
        <v>14</v>
      </c>
      <c r="I51" s="60"/>
    </row>
    <row r="52" spans="1:20" ht="18" customHeight="1">
      <c r="A52" s="32" t="s">
        <v>12</v>
      </c>
      <c r="B52" s="61"/>
      <c r="C52" s="62"/>
      <c r="D52" s="63">
        <v>13</v>
      </c>
      <c r="E52" s="64">
        <v>400</v>
      </c>
      <c r="G52" s="137" t="str">
        <f>IF(1000/E47*Q47*D12&lt;=1000/E52*Q52,IF(H52&lt;1," OK "," NG ")," NG ")</f>
        <v> OK </v>
      </c>
      <c r="H52" s="44">
        <f>B40*D12/(1000/E52*Q52)</f>
        <v>0.14561950282030067</v>
      </c>
      <c r="I52" s="44"/>
      <c r="J52" s="24" t="str">
        <f>" ( at = "&amp;FIXED(1000/E52*Q52,0)&amp;" (m㎡/m) )"</f>
        <v> ( at = 318 (m㎡/m) )</v>
      </c>
      <c r="O52" s="65">
        <f>IF(C52=10,71,IF(C52=13,127,IF(C52=16,199,IF(C52=19,287,IF(C52=22,387,IF(C52=25,507,0))))))</f>
        <v>0</v>
      </c>
      <c r="P52" s="65">
        <f>IF(D52=10,71,IF(D52=13,127,IF(D52=16,199,IF(D52=19,287,IF(D52=22,387,IF(D52=25,507,0))))))</f>
        <v>127</v>
      </c>
      <c r="Q52" s="66">
        <f>IF(C52="",P52,IF(D52="",O52,(O52+P52)/2))</f>
        <v>127</v>
      </c>
      <c r="R52" s="33">
        <f>IF(C52=10,3,IF(C52=13,4,IF(C52=16,5,IF(C52=19,6,IF(C52=22,7,IF(C52=25,8,0))))))</f>
        <v>0</v>
      </c>
      <c r="S52" s="33">
        <f>IF(D52=10,3,IF(D52=13,4,IF(D52=16,5,IF(D52=19,6,IF(D52=22,7,IF(D52=25,8,0))))))</f>
        <v>4</v>
      </c>
      <c r="T52" s="34">
        <f>IF(C52="",S52,IF(D52="",R52,(R52+S52)/2))</f>
        <v>4</v>
      </c>
    </row>
    <row r="53" spans="2:24" s="79" customFormat="1" ht="16.5">
      <c r="B53" s="67"/>
      <c r="C53" s="41"/>
      <c r="D53" s="36"/>
      <c r="E53" s="69">
        <f>IF(MAX(E52)&gt;800,"ピッチが"&amp;FIXED(800,0)&amp;"mmを超える",IF((1000/E52*Q52)/K12/10&lt;0.25,"",""))</f>
      </c>
      <c r="G53" s="80"/>
      <c r="H53" s="81"/>
      <c r="I53" s="81"/>
      <c r="J53" s="82"/>
      <c r="M53" s="83"/>
      <c r="O53" s="75"/>
      <c r="P53" s="75"/>
      <c r="Q53" s="76"/>
      <c r="R53" s="77"/>
      <c r="S53" s="77"/>
      <c r="T53" s="78"/>
      <c r="W53" s="96"/>
      <c r="X53" s="97"/>
    </row>
    <row r="54" spans="2:5" ht="13.5">
      <c r="B54" s="11"/>
      <c r="C54" s="84"/>
      <c r="D54" s="11"/>
      <c r="E54" s="85"/>
    </row>
    <row r="59" spans="4:15" ht="14.25">
      <c r="D59" s="101"/>
      <c r="E59" s="101"/>
      <c r="F59" s="101"/>
      <c r="G59" s="101"/>
      <c r="H59" s="101"/>
      <c r="I59" s="101"/>
      <c r="J59" s="101"/>
      <c r="K59" s="102"/>
      <c r="L59" s="103"/>
      <c r="O59" s="101"/>
    </row>
    <row r="60" spans="4:15" ht="14.25">
      <c r="D60" s="101"/>
      <c r="E60" s="101"/>
      <c r="F60" s="101"/>
      <c r="G60" s="101"/>
      <c r="H60" s="108"/>
      <c r="I60" s="108"/>
      <c r="J60" s="108"/>
      <c r="K60" s="108"/>
      <c r="L60" s="101"/>
      <c r="M60" s="125"/>
      <c r="N60" s="109"/>
      <c r="O60" s="101"/>
    </row>
    <row r="61" spans="4:15" ht="14.25">
      <c r="D61" s="104"/>
      <c r="E61" s="104"/>
      <c r="F61" s="104"/>
      <c r="G61" s="104"/>
      <c r="H61" s="108"/>
      <c r="I61" s="108"/>
      <c r="J61" s="108"/>
      <c r="K61" s="108"/>
      <c r="L61" s="101"/>
      <c r="M61" s="112"/>
      <c r="N61" s="113"/>
      <c r="O61" s="101"/>
    </row>
    <row r="62" spans="4:14" ht="14.25">
      <c r="D62" s="101"/>
      <c r="E62" s="101"/>
      <c r="F62" s="101"/>
      <c r="G62" s="101"/>
      <c r="H62" s="108"/>
      <c r="I62" s="108"/>
      <c r="J62" s="108"/>
      <c r="K62" s="108"/>
      <c r="L62" s="101"/>
      <c r="M62" s="101"/>
      <c r="N62" s="101"/>
    </row>
    <row r="63" spans="2:15" ht="14.25">
      <c r="B63" s="101"/>
      <c r="C63" s="105"/>
      <c r="D63" s="101"/>
      <c r="E63" s="101"/>
      <c r="F63" s="101"/>
      <c r="G63" s="101"/>
      <c r="H63" s="108"/>
      <c r="I63" s="108"/>
      <c r="J63" s="108"/>
      <c r="K63" s="108"/>
      <c r="L63" s="101"/>
      <c r="M63" s="112"/>
      <c r="N63" s="113"/>
      <c r="O63" s="101"/>
    </row>
    <row r="64" spans="4:15" ht="14.25">
      <c r="D64" s="101"/>
      <c r="E64" s="101"/>
      <c r="F64" s="101"/>
      <c r="G64" s="101"/>
      <c r="H64" s="108"/>
      <c r="I64" s="108"/>
      <c r="J64" s="108"/>
      <c r="K64" s="108"/>
      <c r="L64" s="101"/>
      <c r="M64" s="101"/>
      <c r="N64" s="101"/>
      <c r="O64" s="101"/>
    </row>
  </sheetData>
  <sheetProtection sheet="1" objects="1" scenarios="1"/>
  <mergeCells count="20">
    <mergeCell ref="Q11:Q12"/>
    <mergeCell ref="B36:E36"/>
    <mergeCell ref="B33:H33"/>
    <mergeCell ref="L24:M24"/>
    <mergeCell ref="G17:G18"/>
    <mergeCell ref="L23:M23"/>
    <mergeCell ref="B34:D34"/>
    <mergeCell ref="H11:H13"/>
    <mergeCell ref="B29:D29"/>
    <mergeCell ref="B30:D30"/>
    <mergeCell ref="J4:K5"/>
    <mergeCell ref="L14:L15"/>
    <mergeCell ref="M2:N2"/>
    <mergeCell ref="L39:M39"/>
    <mergeCell ref="L30:M30"/>
    <mergeCell ref="K21:M21"/>
    <mergeCell ref="L36:M36"/>
    <mergeCell ref="L26:M26"/>
    <mergeCell ref="L27:M27"/>
    <mergeCell ref="L28:M28"/>
  </mergeCells>
  <conditionalFormatting sqref="G44 G47:G48 G52:G53 R11:R13">
    <cfRule type="cellIs" priority="1" dxfId="34" operator="equal" stopIfTrue="1">
      <formula>" NG "</formula>
    </cfRule>
  </conditionalFormatting>
  <conditionalFormatting sqref="B44">
    <cfRule type="cellIs" priority="2" dxfId="34" operator="greaterThanOrEqual" stopIfTrue="1">
      <formula>$D$44</formula>
    </cfRule>
  </conditionalFormatting>
  <conditionalFormatting sqref="C54">
    <cfRule type="cellIs" priority="3" dxfId="35" operator="equal" stopIfTrue="1">
      <formula>"(チドリ)"</formula>
    </cfRule>
  </conditionalFormatting>
  <conditionalFormatting sqref="H47:I48 H52:I53 S4:S5 S7:S13">
    <cfRule type="cellIs" priority="4" dxfId="34" operator="greaterThanOrEqual" stopIfTrue="1">
      <formula>1</formula>
    </cfRule>
  </conditionalFormatting>
  <conditionalFormatting sqref="C48 C53">
    <cfRule type="cellIs" priority="5" dxfId="35" operator="equal" stopIfTrue="1">
      <formula>"(チドリ)"</formula>
    </cfRule>
    <cfRule type="cellIs" priority="6" dxfId="35" operator="equal" stopIfTrue="1">
      <formula>"(ダブル)"</formula>
    </cfRule>
  </conditionalFormatting>
  <conditionalFormatting sqref="H6 H18 K20:M20">
    <cfRule type="cellIs" priority="7" dxfId="36" operator="greaterThan" stopIfTrue="1">
      <formula>$G$6</formula>
    </cfRule>
  </conditionalFormatting>
  <conditionalFormatting sqref="E30 F35 L36">
    <cfRule type="cellIs" priority="8" dxfId="36" operator="equal" stopIfTrue="1">
      <formula>"NG"</formula>
    </cfRule>
  </conditionalFormatting>
  <conditionalFormatting sqref="B18">
    <cfRule type="cellIs" priority="9" dxfId="37" operator="greaterThan" stopIfTrue="1">
      <formula>$B$23</formula>
    </cfRule>
  </conditionalFormatting>
  <conditionalFormatting sqref="B19">
    <cfRule type="cellIs" priority="10" dxfId="37" operator="greaterThan" stopIfTrue="1">
      <formula>$B$24</formula>
    </cfRule>
  </conditionalFormatting>
  <conditionalFormatting sqref="B23">
    <cfRule type="cellIs" priority="11" dxfId="37" operator="greaterThan" stopIfTrue="1">
      <formula>$B$18</formula>
    </cfRule>
  </conditionalFormatting>
  <conditionalFormatting sqref="B24">
    <cfRule type="cellIs" priority="12" dxfId="37" operator="greaterThan" stopIfTrue="1">
      <formula>$B$19</formula>
    </cfRule>
  </conditionalFormatting>
  <conditionalFormatting sqref="R4:R10">
    <cfRule type="cellIs" priority="13" dxfId="34" operator="equal" stopIfTrue="1">
      <formula>"NG"</formula>
    </cfRule>
  </conditionalFormatting>
  <conditionalFormatting sqref="F21:I21">
    <cfRule type="expression" priority="14" dxfId="38" stopIfTrue="1">
      <formula>$H$6=0</formula>
    </cfRule>
  </conditionalFormatting>
  <conditionalFormatting sqref="K12">
    <cfRule type="cellIs" priority="15" dxfId="36" operator="lessThan" stopIfTrue="1">
      <formula>$O$12</formula>
    </cfRule>
  </conditionalFormatting>
  <conditionalFormatting sqref="G6">
    <cfRule type="cellIs" priority="16" dxfId="36" operator="lessThan" stopIfTrue="1">
      <formula>$H$6</formula>
    </cfRule>
    <cfRule type="cellIs" priority="17" dxfId="39" operator="greaterThan" stopIfTrue="1">
      <formula>2200</formula>
    </cfRule>
  </conditionalFormatting>
  <conditionalFormatting sqref="O22:O23">
    <cfRule type="cellIs" priority="18" dxfId="36" operator="lessThan" stopIfTrue="1">
      <formula>0.3</formula>
    </cfRule>
  </conditionalFormatting>
  <dataValidations count="4">
    <dataValidation type="list" allowBlank="1" showInputMessage="1" showErrorMessage="1" sqref="E3">
      <formula1>$W$4:$W$44</formula1>
    </dataValidation>
    <dataValidation type="list" allowBlank="1" showInputMessage="1" showErrorMessage="1" prompt="地表面粗度区分" sqref="F4">
      <formula1>$Y$16:$Y$19</formula1>
    </dataValidation>
    <dataValidation type="list" allowBlank="1" showInputMessage="1" showErrorMessage="1" sqref="H21">
      <formula1>$S$24:$S$25</formula1>
    </dataValidation>
    <dataValidation type="list" allowBlank="1" showInputMessage="1" showErrorMessage="1" sqref="I21">
      <formula1>$S$27:$S$29</formula1>
    </dataValidation>
  </dataValidations>
  <printOptions horizontalCentered="1"/>
  <pageMargins left="0.7874015748031497" right="0.7874015748031497" top="0.984251968503937" bottom="0.7874015748031497" header="0.3937007874015748" footer="0.5905511811023623"/>
  <pageSetup fitToHeight="1" fitToWidth="1" horizontalDpi="200" verticalDpi="200" orientation="portrait" paperSize="9" scale="90" r:id="rId4"/>
  <headerFooter alignWithMargins="0">
    <oddHeader>&amp;C&amp;10&amp;A&amp;R&amp;10&amp;F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64"/>
  <sheetViews>
    <sheetView view="pageBreakPreview" zoomScale="75" zoomScaleNormal="75" zoomScaleSheetLayoutView="75" zoomScalePageLayoutView="0" workbookViewId="0" topLeftCell="A1">
      <selection activeCell="G1" sqref="G1"/>
    </sheetView>
  </sheetViews>
  <sheetFormatPr defaultColWidth="8.375" defaultRowHeight="13.5"/>
  <cols>
    <col min="1" max="2" width="8.625" style="1" customWidth="1"/>
    <col min="3" max="3" width="5.375" style="1" customWidth="1"/>
    <col min="4" max="4" width="7.625" style="1" customWidth="1"/>
    <col min="5" max="5" width="14.625" style="1" customWidth="1"/>
    <col min="6" max="6" width="4.625" style="1" customWidth="1"/>
    <col min="7" max="7" width="6.625" style="1" customWidth="1"/>
    <col min="8" max="9" width="7.125" style="1" customWidth="1"/>
    <col min="10" max="10" width="5.875" style="1" customWidth="1"/>
    <col min="11" max="11" width="4.125" style="1" customWidth="1"/>
    <col min="12" max="12" width="3.625" style="1" customWidth="1"/>
    <col min="13" max="13" width="4.125" style="2" customWidth="1"/>
    <col min="14" max="14" width="7.625" style="1" customWidth="1"/>
    <col min="15" max="15" width="10.625" style="1" customWidth="1"/>
    <col min="16" max="16" width="6.625" style="1" customWidth="1"/>
    <col min="17" max="17" width="7.625" style="1" customWidth="1"/>
    <col min="18" max="18" width="6.75390625" style="1" customWidth="1"/>
    <col min="19" max="19" width="8.625" style="1" customWidth="1"/>
    <col min="20" max="22" width="2.625" style="1" customWidth="1"/>
    <col min="23" max="23" width="8.375" style="96" customWidth="1"/>
    <col min="24" max="24" width="8.375" style="97" customWidth="1"/>
    <col min="25" max="16384" width="8.375" style="1" customWidth="1"/>
  </cols>
  <sheetData>
    <row r="1" spans="1:14" ht="16.5" customHeight="1">
      <c r="A1" s="45"/>
      <c r="N1" s="46"/>
    </row>
    <row r="2" spans="1:15" ht="24.75" customHeight="1">
      <c r="A2" s="47" t="str">
        <f>"W"&amp;FIXED(K12,0)&amp;""</f>
        <v>W150</v>
      </c>
      <c r="C2" s="48"/>
      <c r="N2" s="166" t="s">
        <v>177</v>
      </c>
      <c r="O2" s="89"/>
    </row>
    <row r="3" spans="1:19" ht="30" customHeight="1">
      <c r="A3" s="95" t="s">
        <v>25</v>
      </c>
      <c r="B3" s="90" t="s">
        <v>71</v>
      </c>
      <c r="E3" s="98" t="s">
        <v>174</v>
      </c>
      <c r="H3" s="91"/>
      <c r="I3" s="91"/>
      <c r="L3" s="172"/>
      <c r="M3" s="1"/>
      <c r="S3" s="142" t="s">
        <v>110</v>
      </c>
    </row>
    <row r="4" spans="2:24" ht="14.25">
      <c r="B4" s="43" t="s">
        <v>72</v>
      </c>
      <c r="C4" s="99">
        <f>VLOOKUP(E3,W4:X44,2,FALSE)</f>
        <v>34</v>
      </c>
      <c r="D4" s="5" t="s">
        <v>123</v>
      </c>
      <c r="E4" s="116" t="s">
        <v>74</v>
      </c>
      <c r="F4" s="129" t="s">
        <v>75</v>
      </c>
      <c r="G4" s="32"/>
      <c r="H4" s="92"/>
      <c r="I4" s="92"/>
      <c r="J4" s="181" t="s">
        <v>124</v>
      </c>
      <c r="K4" s="182"/>
      <c r="L4" s="169"/>
      <c r="M4" s="32"/>
      <c r="N4" s="42"/>
      <c r="O4" s="105"/>
      <c r="Q4" s="95" t="s">
        <v>105</v>
      </c>
      <c r="R4" s="95" t="str">
        <f>E30</f>
        <v>OK</v>
      </c>
      <c r="S4" s="145">
        <f>1.2/(O30/O29)</f>
        <v>0.885245901639344</v>
      </c>
      <c r="W4" s="96" t="s">
        <v>31</v>
      </c>
      <c r="X4" s="97">
        <v>34</v>
      </c>
    </row>
    <row r="5" spans="8:24" ht="13.5">
      <c r="H5" s="6"/>
      <c r="I5" s="6"/>
      <c r="J5" s="181"/>
      <c r="K5" s="182"/>
      <c r="L5" s="169"/>
      <c r="M5" s="1"/>
      <c r="P5" s="4"/>
      <c r="Q5" s="95" t="s">
        <v>106</v>
      </c>
      <c r="R5" s="140" t="str">
        <f>F35</f>
        <v>NG</v>
      </c>
      <c r="S5" s="145">
        <f>3/(K21/1000/O34)</f>
        <v>2.666803278688524</v>
      </c>
      <c r="W5" s="96" t="s">
        <v>32</v>
      </c>
      <c r="X5" s="97">
        <v>32</v>
      </c>
    </row>
    <row r="6" spans="3:24" ht="14.25">
      <c r="C6" s="4" t="str">
        <f>IF($H$6=0,"コンクリート圧縮強度","ブロック圧縮強度")</f>
        <v>コンクリート圧縮強度</v>
      </c>
      <c r="D6" s="160">
        <f>IF($H$6=0,21,IF(I21="A種",4,IF(I21="B種",6,IF(I21="C種",8,0))))</f>
        <v>21</v>
      </c>
      <c r="E6" s="5" t="s">
        <v>125</v>
      </c>
      <c r="G6" s="51">
        <v>1200</v>
      </c>
      <c r="H6" s="175"/>
      <c r="I6" s="6"/>
      <c r="J6" s="12"/>
      <c r="L6" s="169"/>
      <c r="M6" s="9"/>
      <c r="N6" s="11"/>
      <c r="O6" s="40"/>
      <c r="P6" s="11"/>
      <c r="Q6" s="95" t="s">
        <v>107</v>
      </c>
      <c r="R6" s="141">
        <f>O36</f>
        <v>-33.458939234281715</v>
      </c>
      <c r="S6" s="144" t="s">
        <v>13</v>
      </c>
      <c r="W6" s="96" t="s">
        <v>33</v>
      </c>
      <c r="X6" s="97">
        <v>34</v>
      </c>
    </row>
    <row r="7" spans="8:24" ht="13.5" hidden="1">
      <c r="H7" s="6"/>
      <c r="I7" s="6"/>
      <c r="L7" s="169"/>
      <c r="M7" s="9"/>
      <c r="P7" s="12" t="s">
        <v>3</v>
      </c>
      <c r="Q7" s="95"/>
      <c r="R7" s="95"/>
      <c r="S7" s="143"/>
      <c r="W7" s="96" t="s">
        <v>34</v>
      </c>
      <c r="X7" s="97">
        <v>32</v>
      </c>
    </row>
    <row r="8" spans="8:24" ht="13.5" hidden="1">
      <c r="H8" s="6"/>
      <c r="I8" s="6"/>
      <c r="L8" s="169"/>
      <c r="M8" s="9"/>
      <c r="O8" s="13">
        <v>1</v>
      </c>
      <c r="P8" s="12" t="s">
        <v>126</v>
      </c>
      <c r="Q8" s="95"/>
      <c r="R8" s="95"/>
      <c r="S8" s="143"/>
      <c r="W8" s="96" t="s">
        <v>35</v>
      </c>
      <c r="X8" s="97">
        <v>34</v>
      </c>
    </row>
    <row r="9" spans="7:24" ht="13.5" hidden="1">
      <c r="G9" s="49"/>
      <c r="H9" s="50"/>
      <c r="I9" s="50"/>
      <c r="L9" s="169"/>
      <c r="M9" s="10"/>
      <c r="N9" s="15"/>
      <c r="P9" s="12" t="s">
        <v>5</v>
      </c>
      <c r="Q9" s="95"/>
      <c r="R9" s="95"/>
      <c r="S9" s="143"/>
      <c r="W9" s="96" t="s">
        <v>36</v>
      </c>
      <c r="X9" s="97">
        <v>34</v>
      </c>
    </row>
    <row r="10" spans="2:24" ht="13.5" hidden="1">
      <c r="B10" s="15"/>
      <c r="G10" s="16"/>
      <c r="H10" s="6"/>
      <c r="I10" s="6"/>
      <c r="L10" s="169"/>
      <c r="M10" s="10"/>
      <c r="P10" s="12"/>
      <c r="Q10" s="95"/>
      <c r="R10" s="95"/>
      <c r="S10" s="143"/>
      <c r="W10" s="96" t="s">
        <v>37</v>
      </c>
      <c r="X10" s="97">
        <v>34</v>
      </c>
    </row>
    <row r="11" spans="3:24" ht="13.5" customHeight="1">
      <c r="C11" s="4" t="s">
        <v>127</v>
      </c>
      <c r="D11" s="8">
        <f>MIN(D6/30,0.49+D6/100)*IF(A3="短期",1.5,1)</f>
        <v>1.0499999999999998</v>
      </c>
      <c r="E11" s="5" t="s">
        <v>128</v>
      </c>
      <c r="G11" s="94" t="str">
        <f>IF($H$6=0,"(塀の高さ)","(CBの高さ)")</f>
        <v>(塀の高さ)</v>
      </c>
      <c r="H11" s="201" t="s">
        <v>28</v>
      </c>
      <c r="I11" s="6"/>
      <c r="L11" s="169"/>
      <c r="M11" s="52" t="str">
        <f>IF(A2="","",A2)</f>
        <v>W150</v>
      </c>
      <c r="O11" s="12"/>
      <c r="P11" s="12"/>
      <c r="Q11" s="193" t="s">
        <v>108</v>
      </c>
      <c r="R11" s="95" t="str">
        <f>G47</f>
        <v> OK </v>
      </c>
      <c r="S11" s="145">
        <f>H47</f>
        <v>0.1932775352233513</v>
      </c>
      <c r="W11" s="96" t="s">
        <v>38</v>
      </c>
      <c r="X11" s="97">
        <v>34</v>
      </c>
    </row>
    <row r="12" spans="3:24" ht="13.5" customHeight="1">
      <c r="C12" s="4" t="s">
        <v>6</v>
      </c>
      <c r="D12" s="128">
        <v>0.5</v>
      </c>
      <c r="E12" s="3"/>
      <c r="G12" s="16"/>
      <c r="H12" s="201"/>
      <c r="I12" s="6"/>
      <c r="K12" s="132">
        <v>150</v>
      </c>
      <c r="L12" s="170"/>
      <c r="M12" s="17"/>
      <c r="O12" s="18"/>
      <c r="P12" s="18"/>
      <c r="Q12" s="193"/>
      <c r="R12" s="95" t="str">
        <f>G52</f>
        <v> OK </v>
      </c>
      <c r="S12" s="145">
        <f>H52</f>
        <v>0.09663876761167565</v>
      </c>
      <c r="T12" s="39"/>
      <c r="W12" s="96" t="s">
        <v>39</v>
      </c>
      <c r="X12" s="97">
        <v>34</v>
      </c>
    </row>
    <row r="13" spans="8:24" ht="13.5" customHeight="1">
      <c r="H13" s="201"/>
      <c r="I13" s="6"/>
      <c r="K13" s="131" t="s">
        <v>129</v>
      </c>
      <c r="L13" s="169"/>
      <c r="M13" s="17"/>
      <c r="O13" s="18"/>
      <c r="P13" s="18"/>
      <c r="Q13" s="95" t="s">
        <v>109</v>
      </c>
      <c r="R13" s="95" t="str">
        <f>G44</f>
        <v> OK </v>
      </c>
      <c r="S13" s="145">
        <f>B44/D44</f>
        <v>0.03134693877551021</v>
      </c>
      <c r="T13" s="39"/>
      <c r="W13" s="96" t="s">
        <v>40</v>
      </c>
      <c r="X13" s="97">
        <v>32</v>
      </c>
    </row>
    <row r="14" spans="1:24" ht="13.5" customHeight="1">
      <c r="A14" s="95" t="s">
        <v>88</v>
      </c>
      <c r="H14" s="53"/>
      <c r="I14" s="53"/>
      <c r="L14" s="202"/>
      <c r="M14" s="1"/>
      <c r="O14" s="18"/>
      <c r="P14" s="18"/>
      <c r="Q14" s="38"/>
      <c r="R14" s="39"/>
      <c r="S14" s="38"/>
      <c r="T14" s="39"/>
      <c r="W14" s="96" t="s">
        <v>41</v>
      </c>
      <c r="X14" s="97">
        <v>34</v>
      </c>
    </row>
    <row r="15" spans="1:24" ht="13.5" customHeight="1">
      <c r="A15" s="115" t="s">
        <v>78</v>
      </c>
      <c r="B15" s="114">
        <f>0.6*((IF((G6/1000)&gt;IF(F4="Ⅰ",5,IF(F4="Ⅱ",5,IF(F4="Ⅲ",5,IF(F4="Ⅳ",10,"?")))),1.7*((G6/1000)/IF(F4="Ⅰ",250,IF(F4="Ⅱ",350,IF(F4="Ⅲ",450,IF(F4="Ⅳ",450,"?")))))^S18,1.7*(IF(F4="Ⅰ",5,IF(F4="Ⅱ",5,IF(F4="Ⅲ",5,IF(F4="Ⅳ",10,"?"))))/IF(F4="Ⅰ",250,IF(F4="Ⅱ",350,IF(F4="Ⅲ",450,IF(F4="Ⅳ",450,"?")))))^S18))^2*S17)*C4^2</f>
        <v>828.418773257192</v>
      </c>
      <c r="C15" s="104" t="s">
        <v>79</v>
      </c>
      <c r="G15" s="16"/>
      <c r="H15" s="7"/>
      <c r="I15" s="88"/>
      <c r="L15" s="202"/>
      <c r="M15" s="10"/>
      <c r="W15" s="96" t="s">
        <v>42</v>
      </c>
      <c r="X15" s="97">
        <v>34</v>
      </c>
    </row>
    <row r="16" spans="1:26" ht="18" customHeight="1">
      <c r="A16" s="115" t="s">
        <v>130</v>
      </c>
      <c r="B16" s="117">
        <f>ABS(S21-S22)</f>
        <v>1.2000000000000002</v>
      </c>
      <c r="F16" s="130" t="s">
        <v>98</v>
      </c>
      <c r="G16" s="124"/>
      <c r="H16" s="168"/>
      <c r="I16" s="22"/>
      <c r="J16" s="86"/>
      <c r="K16" s="139"/>
      <c r="L16" s="171"/>
      <c r="M16" s="87"/>
      <c r="N16" s="86"/>
      <c r="W16" s="96" t="s">
        <v>43</v>
      </c>
      <c r="X16" s="97">
        <v>32</v>
      </c>
      <c r="Y16" s="12" t="s">
        <v>131</v>
      </c>
      <c r="Z16" s="31" t="s">
        <v>172</v>
      </c>
    </row>
    <row r="17" spans="1:26" ht="19.5" customHeight="1">
      <c r="A17" s="115" t="s">
        <v>132</v>
      </c>
      <c r="B17" s="165">
        <f>B15*B16</f>
        <v>994.1025279086306</v>
      </c>
      <c r="C17" s="104" t="s">
        <v>133</v>
      </c>
      <c r="G17" s="195">
        <v>500</v>
      </c>
      <c r="H17" s="127">
        <f>G17-H18</f>
        <v>200</v>
      </c>
      <c r="I17" s="22"/>
      <c r="K17" s="156" t="s">
        <v>111</v>
      </c>
      <c r="L17" s="147" t="s">
        <v>27</v>
      </c>
      <c r="M17" s="157" t="s">
        <v>111</v>
      </c>
      <c r="N17" s="11"/>
      <c r="O17" s="13"/>
      <c r="R17" s="100" t="s">
        <v>134</v>
      </c>
      <c r="S17" s="107">
        <f>IF(F4="Ⅰ",IF(G6/1000&lt;10,2,IF(G6/1000&gt;40,1.8,2-0.2/30*(G6/1000-10))),IF(F4="Ⅱ",IF(G6/1000&lt;10,2.2,IF(G6/1000&gt;40,2,2.2-0.2/30*(G6/1000-10))),IF(F4="Ⅲ",IF(G6/1000&lt;10,2.5,IF(G6/1000&gt;40,2.1,2.5-0.4/30*(G6/1000-10))),IF(F4="Ⅳ",IF(G6/1000&lt;10,3.1,IF(G6/1000&gt;40,2.3,3.1-0.8/30*(G6/1000-10))),"?"))))</f>
        <v>2.5</v>
      </c>
      <c r="W17" s="96" t="s">
        <v>44</v>
      </c>
      <c r="X17" s="97">
        <v>34</v>
      </c>
      <c r="Y17" s="12" t="s">
        <v>135</v>
      </c>
      <c r="Z17" s="31" t="s">
        <v>173</v>
      </c>
    </row>
    <row r="18" spans="1:25" ht="19.5" customHeight="1">
      <c r="A18" s="37" t="str">
        <f>"M ="</f>
        <v>M =</v>
      </c>
      <c r="B18" s="8">
        <f>B17/1000*G6/1000*G6/1000/2</f>
        <v>0.7157538200942141</v>
      </c>
      <c r="C18" s="20" t="s">
        <v>136</v>
      </c>
      <c r="G18" s="196"/>
      <c r="H18" s="126">
        <v>300</v>
      </c>
      <c r="I18" s="121"/>
      <c r="K18" s="149"/>
      <c r="L18" s="148"/>
      <c r="M18" s="150"/>
      <c r="O18" s="11"/>
      <c r="R18" s="100" t="s">
        <v>137</v>
      </c>
      <c r="S18" s="106">
        <f>IF(F4="Ⅰ",0.1,IF(F4="Ⅱ",0.15,IF(F4="Ⅲ",0.2,IF(F4="Ⅳ",0.2,"?"))))</f>
        <v>0.2</v>
      </c>
      <c r="W18" s="96" t="s">
        <v>45</v>
      </c>
      <c r="X18" s="97">
        <v>34</v>
      </c>
      <c r="Y18" s="12" t="s">
        <v>138</v>
      </c>
    </row>
    <row r="19" spans="1:25" ht="19.5" customHeight="1">
      <c r="A19" s="56" t="str">
        <f>"Q ="</f>
        <v>Q =</v>
      </c>
      <c r="B19" s="8">
        <f>B17/1000*G6/1000</f>
        <v>1.1929230334903569</v>
      </c>
      <c r="C19" s="20" t="s">
        <v>139</v>
      </c>
      <c r="I19" s="54" t="s">
        <v>140</v>
      </c>
      <c r="K19" s="10"/>
      <c r="L19" s="10"/>
      <c r="M19" s="10"/>
      <c r="P19" s="55"/>
      <c r="S19" s="107">
        <f>0.8*IF(G6/1000&lt;IF(F4="Ⅰ",5,IF(F4="Ⅱ",5,IF(F4="Ⅲ",5,IF(F4="Ⅳ",10,"?")))),1,IF(G6/1000&lt;IF(F4="Ⅰ",5,IF(F4="Ⅱ",5,IF(F4="Ⅲ",5,IF(F4="Ⅳ",10,"?")))),(IF(F4="Ⅰ",5,IF(F4="Ⅱ",5,IF(F4="Ⅲ",5,IF(F4="Ⅳ",10,"?"))))/(G6/1000))^(2*S18),(G6/1000/(G6/1000))^(2*S18)))</f>
        <v>0.8</v>
      </c>
      <c r="W19" s="96" t="s">
        <v>46</v>
      </c>
      <c r="X19" s="97">
        <v>34</v>
      </c>
      <c r="Y19" s="12" t="s">
        <v>141</v>
      </c>
    </row>
    <row r="20" spans="11:25" ht="19.5" customHeight="1">
      <c r="K20" s="133">
        <v>0</v>
      </c>
      <c r="L20" s="134">
        <f>K12</f>
        <v>150</v>
      </c>
      <c r="M20" s="134">
        <f>K21-K20-L20</f>
        <v>350</v>
      </c>
      <c r="P20" s="55"/>
      <c r="R20" s="110" t="s">
        <v>142</v>
      </c>
      <c r="S20" s="107">
        <f>IF(G6/1000&lt;IF(F4="Ⅰ",5,IF(F4="Ⅱ",5,IF(F4="Ⅲ",5,IF(F4="Ⅳ",10,"?")))),1,IF(G6/1000&lt;IF(F4="Ⅰ",5,IF(F4="Ⅱ",5,IF(F4="Ⅲ",5,IF(F4="Ⅳ",10,"?")))),(IF(F4="Ⅰ",5,IF(F4="Ⅱ",5,IF(F4="Ⅲ",5,IF(F4="Ⅳ",10,"?"))))/(G6/1000))^(2*S18),(G6/1000/(G6/1000))^(2*S18)))</f>
        <v>1</v>
      </c>
      <c r="W20" s="96" t="s">
        <v>47</v>
      </c>
      <c r="X20" s="97">
        <v>32</v>
      </c>
      <c r="Y20" s="2"/>
    </row>
    <row r="21" spans="1:25" ht="19.5" customHeight="1">
      <c r="A21" s="95" t="s">
        <v>89</v>
      </c>
      <c r="K21" s="188">
        <v>500</v>
      </c>
      <c r="L21" s="189"/>
      <c r="M21" s="190"/>
      <c r="P21" s="2"/>
      <c r="R21" s="100" t="s">
        <v>143</v>
      </c>
      <c r="S21" s="111">
        <f>IF(O4="閉鎖型",IF(S19&lt;0.7-0.2,-0.7,S19),IF(O4="風上開放",-0.7,S19))</f>
        <v>0.8</v>
      </c>
      <c r="W21" s="96" t="s">
        <v>48</v>
      </c>
      <c r="X21" s="97">
        <v>32</v>
      </c>
      <c r="Y21" s="2"/>
    </row>
    <row r="22" spans="1:25" ht="18" customHeight="1">
      <c r="A22" s="37" t="str">
        <f>"Csi ="</f>
        <v>Csi =</v>
      </c>
      <c r="B22" s="8">
        <f>O22*(1-(G6-G6)/G6)</f>
        <v>0.5</v>
      </c>
      <c r="O22" s="179">
        <v>0.5</v>
      </c>
      <c r="P22" s="2"/>
      <c r="R22" s="100" t="s">
        <v>144</v>
      </c>
      <c r="S22" s="111">
        <f>IF(O4="閉鎖型",IF(S19&lt;0.7-0.2,0,-0.2),IF(O4="風上開放",0.6,-0.4))</f>
        <v>-0.4</v>
      </c>
      <c r="W22" s="96" t="s">
        <v>49</v>
      </c>
      <c r="X22" s="97">
        <v>34</v>
      </c>
      <c r="Y22" s="2"/>
    </row>
    <row r="23" spans="1:24" ht="18" customHeight="1">
      <c r="A23" s="37" t="str">
        <f>"M ="</f>
        <v>M =</v>
      </c>
      <c r="B23" s="8">
        <f>0.5*G6/1000*B22*L23*G6/1000+IF(O23="Df考慮する",B24*G17/1000,0)</f>
        <v>2.376</v>
      </c>
      <c r="C23" s="20" t="s">
        <v>145</v>
      </c>
      <c r="K23" s="173" t="s">
        <v>170</v>
      </c>
      <c r="L23" s="200">
        <f>IF($H$6=0,L24,IF(H21="軽量",IF(I21="A種",IF(K12=100,1.1,IF(K12=120,1.5,IF(K12=150,2,0))),IF(I21="B種",IF(K12=150,2.3,IF(K12=190,3.1,0)),0)),IF(K12=150,2.6,IF(K12=190,3.5,0))))</f>
        <v>3.5999999999999996</v>
      </c>
      <c r="M23" s="200"/>
      <c r="N23" s="174" t="s">
        <v>171</v>
      </c>
      <c r="O23" s="176" t="s">
        <v>175</v>
      </c>
      <c r="P23" s="2"/>
      <c r="W23" s="96" t="s">
        <v>50</v>
      </c>
      <c r="X23" s="97">
        <v>32</v>
      </c>
    </row>
    <row r="24" spans="1:24" ht="18" customHeight="1">
      <c r="A24" s="56" t="str">
        <f>"Q ="</f>
        <v>Q =</v>
      </c>
      <c r="B24" s="8">
        <f>B22*L23*G6/1000</f>
        <v>2.16</v>
      </c>
      <c r="C24" s="20" t="s">
        <v>139</v>
      </c>
      <c r="K24" s="4" t="s">
        <v>147</v>
      </c>
      <c r="L24" s="187">
        <f>K12/1000*24</f>
        <v>3.5999999999999996</v>
      </c>
      <c r="M24" s="187"/>
      <c r="N24" s="20" t="s">
        <v>146</v>
      </c>
      <c r="S24" s="12" t="s">
        <v>112</v>
      </c>
      <c r="W24" s="96" t="s">
        <v>51</v>
      </c>
      <c r="X24" s="97">
        <v>32</v>
      </c>
    </row>
    <row r="25" spans="7:24" ht="18" customHeight="1">
      <c r="G25" s="25"/>
      <c r="O25" s="26">
        <f>IF(MAX(C47,D47)=10,11,IF(MAX(C47,D47)=13,14,IF(MAX(C47,D47)=16,18,IF(MAX(C47,D47)=19,21,IF(MAX(C47,D47)=22,25,IF(MAX(C47,D47)=25,28,"?"))))))</f>
        <v>14</v>
      </c>
      <c r="P25" s="26">
        <f>IF(MAX(C52,D52)=10,11,IF(MAX(C52,D52)=13,14,IF(MAX(C52,D52)=16,18,IF(MAX(C52,D52)=19,21,IF(MAX(C52,D52)=22,25,IF(MAX(C52,D52)=25,28,"?"))))))</f>
        <v>14</v>
      </c>
      <c r="Q25" s="28"/>
      <c r="S25" s="12" t="s">
        <v>113</v>
      </c>
      <c r="W25" s="96" t="s">
        <v>52</v>
      </c>
      <c r="X25" s="97">
        <v>34</v>
      </c>
    </row>
    <row r="26" spans="2:24" ht="18" customHeight="1">
      <c r="B26" s="12"/>
      <c r="G26" s="25"/>
      <c r="K26" s="4" t="s">
        <v>148</v>
      </c>
      <c r="L26" s="192">
        <f>K12</f>
        <v>150</v>
      </c>
      <c r="M26" s="192"/>
      <c r="N26" s="14" t="s">
        <v>149</v>
      </c>
      <c r="O26" s="11"/>
      <c r="P26" s="27"/>
      <c r="Q26" s="28"/>
      <c r="S26" s="2"/>
      <c r="W26" s="96" t="s">
        <v>53</v>
      </c>
      <c r="X26" s="97">
        <v>32</v>
      </c>
    </row>
    <row r="27" spans="1:24" ht="18" customHeight="1">
      <c r="A27" s="31" t="s">
        <v>100</v>
      </c>
      <c r="K27" s="4" t="s">
        <v>150</v>
      </c>
      <c r="L27" s="192">
        <f>L26/2</f>
        <v>75</v>
      </c>
      <c r="M27" s="192"/>
      <c r="N27" s="14" t="s">
        <v>151</v>
      </c>
      <c r="O27" s="11"/>
      <c r="P27" s="27"/>
      <c r="Q27" s="28"/>
      <c r="S27" s="12" t="s">
        <v>115</v>
      </c>
      <c r="W27" s="96" t="s">
        <v>54</v>
      </c>
      <c r="X27" s="97">
        <v>32</v>
      </c>
    </row>
    <row r="28" spans="1:24" ht="18" customHeight="1">
      <c r="A28" s="56" t="str">
        <f>"Q ="</f>
        <v>Q =</v>
      </c>
      <c r="B28" s="122" t="str">
        <f>IF(B17/1000*G6/1000&gt;L23*G6/1000*B22," "&amp;FIXED(B17/1000,3)&amp;" x "&amp;FIXED(G6/1000,2)&amp;"  =  "&amp;FIXED(O29,2)," "&amp;FIXED(L23,2)&amp;" x "&amp;FIXED(G6/1000,2)&amp;" x "&amp;FIXED(B22,2)&amp;"  =  "&amp;FIXED(O29,2))</f>
        <v> 3.60 x 1.20 x 0.50  =  2.16</v>
      </c>
      <c r="E28" s="162"/>
      <c r="K28" s="4" t="s">
        <v>152</v>
      </c>
      <c r="L28" s="192">
        <f>L27*7/8</f>
        <v>65.625</v>
      </c>
      <c r="M28" s="192"/>
      <c r="N28" s="14" t="s">
        <v>153</v>
      </c>
      <c r="O28" s="11"/>
      <c r="P28" s="27"/>
      <c r="Q28" s="28"/>
      <c r="S28" s="12" t="s">
        <v>154</v>
      </c>
      <c r="W28" s="96" t="s">
        <v>55</v>
      </c>
      <c r="X28" s="97">
        <v>32</v>
      </c>
    </row>
    <row r="29" spans="1:24" ht="18" customHeight="1">
      <c r="A29" s="4" t="s">
        <v>90</v>
      </c>
      <c r="B29" s="198" t="str">
        <f>" "&amp;FIXED(L30,2)&amp;" x "&amp;FIXED(0.3,2)&amp;"  =  "&amp;FIXED(L30*0.3,2)</f>
        <v> 9.76 x 0.30  =  2.93</v>
      </c>
      <c r="C29" s="198"/>
      <c r="D29" s="198"/>
      <c r="E29" s="162"/>
      <c r="H29" s="29"/>
      <c r="I29" s="29"/>
      <c r="O29" s="38">
        <f>IF(B17/1000*G6/1000&gt;L23*G6/1000*B22,(B17/1000)*(G6/1000),L23*(G6/1000)*B22)</f>
        <v>2.1599999999999997</v>
      </c>
      <c r="P29" s="27"/>
      <c r="Q29" s="28"/>
      <c r="S29" s="12" t="s">
        <v>117</v>
      </c>
      <c r="W29" s="96" t="s">
        <v>56</v>
      </c>
      <c r="X29" s="97">
        <v>32</v>
      </c>
    </row>
    <row r="30" spans="1:24" ht="18" customHeight="1">
      <c r="A30" s="120" t="str">
        <f>"Fs ="</f>
        <v>Fs =</v>
      </c>
      <c r="B30" s="199" t="str">
        <f>IF(O30/O29&gt;1.2," "&amp;FIXED(O30,2)&amp;" / "&amp;FIXED(O29,2)&amp;" = "&amp;FIXED(O30/O29,2)&amp;"  &gt;  "&amp;FIXED(1.2,1)," "&amp;FIXED(O30,2)&amp;" / "&amp;FIXED(O29,2)&amp;" = "&amp;FIXED(O30/O29,2)&amp;"  &lt;  "&amp;FIXED(1.2,1))</f>
        <v> 2.93 / 2.16 = 1.36  &gt;  1.2</v>
      </c>
      <c r="C30" s="199"/>
      <c r="D30" s="199"/>
      <c r="E30" s="135" t="str">
        <f>IF(O30/O29&gt;1.2,"OK","NG")</f>
        <v>OK</v>
      </c>
      <c r="H30" s="29"/>
      <c r="I30" s="29"/>
      <c r="K30" s="4" t="s">
        <v>155</v>
      </c>
      <c r="L30" s="187">
        <f>L23*G6/1000+(K12/1000*(H16+H17)/1000+K21/1000*H18/1000)*24+H17/1000*(K21-L20)/1000*16</f>
        <v>9.760000000000002</v>
      </c>
      <c r="M30" s="187"/>
      <c r="N30" s="20" t="s">
        <v>156</v>
      </c>
      <c r="O30" s="38">
        <f>L30*0.3</f>
        <v>2.9280000000000004</v>
      </c>
      <c r="P30" s="27"/>
      <c r="Q30" s="28"/>
      <c r="W30" s="96" t="s">
        <v>103</v>
      </c>
      <c r="X30" s="97">
        <v>34</v>
      </c>
    </row>
    <row r="31" spans="8:24" ht="18" customHeight="1">
      <c r="H31" s="29"/>
      <c r="I31" s="29"/>
      <c r="K31" s="4"/>
      <c r="M31" s="23"/>
      <c r="N31" s="14"/>
      <c r="O31" s="11"/>
      <c r="P31" s="27"/>
      <c r="Q31" s="28"/>
      <c r="W31" s="96" t="s">
        <v>57</v>
      </c>
      <c r="X31" s="97">
        <v>34</v>
      </c>
    </row>
    <row r="32" spans="1:24" ht="18" customHeight="1">
      <c r="A32" s="31" t="s">
        <v>102</v>
      </c>
      <c r="B32" s="24"/>
      <c r="N32" s="54"/>
      <c r="P32" s="2"/>
      <c r="W32" s="96" t="s">
        <v>58</v>
      </c>
      <c r="X32" s="97">
        <v>34</v>
      </c>
    </row>
    <row r="33" spans="1:24" ht="18" customHeight="1">
      <c r="A33" s="167" t="s">
        <v>157</v>
      </c>
      <c r="B33" s="194" t="str">
        <f>IF(B17/1000*G6/1000*G6/1000/2+(L23*G6+K12/1000*24*(H16+H17))/1000*ABS(K21/2-K20-L20/2)/1000&gt;B23+B24*(H16/1000)+(L23*G6+K12/1000*24*(H16+H17))/1000*ABS(K21/2-K20-L20/2)/1000," "&amp;FIXED(B17/1000,3)&amp;" x "&amp;FIXED(G6/1000,2)&amp;" x "&amp;FIXED(G6/1000/2+G17/1000,2)&amp;" + ( "&amp;FIXED(L23,2)&amp;" x "&amp;FIXED((G6)/1000,2)&amp;" + "&amp;FIXED(K12/1000*24,2)&amp;" x "&amp;FIXED((H16+H17)/1000,2)&amp;" ) x "&amp;FIXED(ABS(K21/2-K20-L20/2)/1000,2)&amp;"  =  "&amp;FIXED(O33,2)," "&amp;FIXED(B23,2)&amp;" + "&amp;FIXED(B24,2)&amp;" x "&amp;FIXED(G17/1000,2)&amp;" + ( "&amp;FIXED(L23,2)&amp;" x "&amp;FIXED((G6)/1000,2)&amp;" + "&amp;FIXED(K12/1000*24,2)&amp;" x "&amp;FIXED((H16+H17)/1000,2)&amp;" ) x "&amp;FIXED(ABS(K21/2-K20-L20/2)/1000,2)&amp;"  =  "&amp;FIXED(O33,2))</f>
        <v> 2.38 + 2.16 x 0.50 + ( 3.60 x 1.20 + 3.60 x 0.20 ) x 0.18  =  4.34</v>
      </c>
      <c r="C33" s="194"/>
      <c r="D33" s="194"/>
      <c r="E33" s="194"/>
      <c r="F33" s="194"/>
      <c r="G33" s="194"/>
      <c r="H33" s="194"/>
      <c r="I33" s="163" t="s">
        <v>145</v>
      </c>
      <c r="O33" s="38">
        <f>IF(B17/1000*G6/1000*G6/1000/2+(L23*G6+K12/1000*24*(H16+H17))/1000*ABS(K21/2-K20-L20/2)/1000&gt;B23+B24*(H16/1000)+(L23*G6+K12/1000*24*(H16+H17))/1000*ABS(K21/2-K20-L20/2)/1000,B17/1000*G6/1000*(G6/1000/2+G17/1000)+(L23*G6+K12/1000*24*(H16+H17))/1000*ABS(K21/2-K20-L20/2)/1000,B23+B24*(G17/1000)+(L23*G6+K12/1000*24*(H16+H17))/1000*ABS(K21/2-K20-L20/2)/1000)</f>
        <v>4.338</v>
      </c>
      <c r="W33" s="96" t="s">
        <v>59</v>
      </c>
      <c r="X33" s="97">
        <v>32</v>
      </c>
    </row>
    <row r="34" spans="1:24" ht="18" customHeight="1">
      <c r="A34" s="4" t="s">
        <v>158</v>
      </c>
      <c r="B34" s="194" t="str">
        <f>" "&amp;FIXED(O33,2)&amp;" / "&amp;FIXED(L30,2)&amp;"  =  "&amp;FIXED(O33/L30,2)</f>
        <v> 4.34 / 9.76  =  0.44</v>
      </c>
      <c r="C34" s="194"/>
      <c r="D34" s="194"/>
      <c r="E34" s="164" t="s">
        <v>159</v>
      </c>
      <c r="H34" s="30"/>
      <c r="I34" s="30"/>
      <c r="M34" s="1"/>
      <c r="O34" s="38">
        <f>O33/L30</f>
        <v>0.444467213114754</v>
      </c>
      <c r="P34" s="57" t="s">
        <v>160</v>
      </c>
      <c r="Q34" s="28">
        <f>B23/(Q47*1000/E47)/L28*10^6</f>
        <v>57.016872890888635</v>
      </c>
      <c r="W34" s="96" t="s">
        <v>60</v>
      </c>
      <c r="X34" s="97">
        <v>32</v>
      </c>
    </row>
    <row r="35" spans="1:25" ht="18" customHeight="1">
      <c r="A35" s="4" t="s">
        <v>161</v>
      </c>
      <c r="B35" s="122" t="str">
        <f>IF(1/(O34/K21*1000)&gt;2," "&amp;FIXED(O34,2)&amp;" / "&amp;FIXED(K21/1000,2)&amp;"   =   1/"&amp;FIXED(1/(O34/K21*1000),2)&amp;"   &lt;   1/3"," "&amp;FIXED(O34,2)&amp;" / "&amp;FIXED(K21/1000,2)&amp;"   =   1/"&amp;FIXED(1/(O34/K21*1000),2)&amp;"   &gt;   1/3")</f>
        <v> 0.44 / 0.50   =   1/1.12   &gt;   1/3</v>
      </c>
      <c r="F35" s="136" t="str">
        <f>IF(1/(O34/K21*1000)&gt;3,"OK","NG")</f>
        <v>NG</v>
      </c>
      <c r="H35" s="30"/>
      <c r="I35" s="30"/>
      <c r="M35" s="1"/>
      <c r="N35" s="4" t="s">
        <v>178</v>
      </c>
      <c r="O35" s="38">
        <f>1/(O34/K21*1000)</f>
        <v>1.124942369755648</v>
      </c>
      <c r="P35" s="57"/>
      <c r="Q35" s="28"/>
      <c r="W35" s="96" t="s">
        <v>61</v>
      </c>
      <c r="X35" s="97">
        <v>32</v>
      </c>
      <c r="Y35" s="97">
        <v>30</v>
      </c>
    </row>
    <row r="36" spans="1:24" ht="18" customHeight="1">
      <c r="A36" s="4" t="s">
        <v>101</v>
      </c>
      <c r="B36" s="194" t="str">
        <f>IF(O35&gt;6," "&amp;FIXED(L30,2)&amp;" / "&amp;FIXED(K21/1000,2)&amp;" x ( 1 + 6 / "&amp;FIXED(1/(O34/K21*1000),2)&amp;" )   =   "&amp;FIXED(O36,1)," "&amp;FIXED(L30,2)&amp;" / "&amp;FIXED(K21/1000,2)&amp;" x 2/3/( 1/2-1/"&amp;FIXED(1/(O34/K21*1000),2)&amp;" )  =  "&amp;FIXED(O36,1))</f>
        <v> 9.76 / 0.50 x 2/3/( 1/2-1/1.12 )  =  -33.5</v>
      </c>
      <c r="C36" s="194"/>
      <c r="D36" s="194"/>
      <c r="E36" s="194"/>
      <c r="F36" s="31" t="s">
        <v>121</v>
      </c>
      <c r="H36" s="30"/>
      <c r="I36" s="30"/>
      <c r="K36" s="4"/>
      <c r="L36" s="191" t="str">
        <f>IF(N36&gt;O36,"OK","NG")</f>
        <v>OK</v>
      </c>
      <c r="M36" s="191"/>
      <c r="N36" s="178">
        <v>100</v>
      </c>
      <c r="O36" s="59">
        <f>IF(O35&gt;6,L30/K21*1000*(1+6*(O34/K21*1000)),L30/K21*1000*(2/3/(1/2-1/O35)))</f>
        <v>-33.458939234281715</v>
      </c>
      <c r="P36" s="57"/>
      <c r="Q36" s="28"/>
      <c r="W36" s="96" t="s">
        <v>62</v>
      </c>
      <c r="X36" s="97">
        <v>32</v>
      </c>
    </row>
    <row r="37" spans="5:24" ht="18" customHeight="1">
      <c r="E37" s="161" t="s">
        <v>119</v>
      </c>
      <c r="N37" s="177" t="s">
        <v>119</v>
      </c>
      <c r="W37" s="96" t="s">
        <v>63</v>
      </c>
      <c r="X37" s="97">
        <v>32</v>
      </c>
    </row>
    <row r="38" spans="1:24" ht="18" customHeight="1">
      <c r="A38" s="31" t="s">
        <v>96</v>
      </c>
      <c r="W38" s="96" t="s">
        <v>64</v>
      </c>
      <c r="X38" s="97">
        <v>32</v>
      </c>
    </row>
    <row r="39" spans="1:24" ht="18" customHeight="1">
      <c r="A39" s="4" t="s">
        <v>162</v>
      </c>
      <c r="B39" s="24" t="str">
        <f>" "&amp;FIXED(MAX(B18,B23),2)&amp;" / "&amp;FIXED(L39,0)&amp;" / "&amp;FIXED(L28,0)&amp;" x 10^6"</f>
        <v> 2.38 / 295 / 66 x 10^6</v>
      </c>
      <c r="K39" s="4" t="s">
        <v>163</v>
      </c>
      <c r="L39" s="186">
        <f>IF(MIN(C47,D47)&lt;19,IF(A3="短期",295,195),IF(A3="短期",345,215))</f>
        <v>295</v>
      </c>
      <c r="M39" s="186"/>
      <c r="N39" s="14" t="s">
        <v>164</v>
      </c>
      <c r="W39" s="96" t="s">
        <v>65</v>
      </c>
      <c r="X39" s="97">
        <v>34</v>
      </c>
    </row>
    <row r="40" spans="1:24" ht="18" customHeight="1">
      <c r="A40" s="58" t="s">
        <v>165</v>
      </c>
      <c r="B40" s="59">
        <f>MAX(B18,B23)/L39/L28*1000000</f>
        <v>122.73123486682807</v>
      </c>
      <c r="C40" s="14" t="s">
        <v>166</v>
      </c>
      <c r="W40" s="96" t="s">
        <v>66</v>
      </c>
      <c r="X40" s="97">
        <v>32</v>
      </c>
    </row>
    <row r="41" spans="17:24" ht="18" customHeight="1">
      <c r="Q41" s="12"/>
      <c r="R41" s="12"/>
      <c r="S41" s="12"/>
      <c r="W41" s="96" t="s">
        <v>67</v>
      </c>
      <c r="X41" s="97">
        <v>32</v>
      </c>
    </row>
    <row r="42" spans="1:24" ht="18" customHeight="1">
      <c r="A42" s="31" t="s">
        <v>97</v>
      </c>
      <c r="B42" s="24"/>
      <c r="Q42" s="28"/>
      <c r="R42" s="28"/>
      <c r="S42" s="25"/>
      <c r="W42" s="96" t="s">
        <v>68</v>
      </c>
      <c r="X42" s="97">
        <v>34</v>
      </c>
    </row>
    <row r="43" spans="1:24" ht="18" customHeight="1">
      <c r="A43" s="4" t="s">
        <v>167</v>
      </c>
      <c r="B43" s="24" t="str">
        <f>" "&amp;FIXED(MAX(B19,B24),2)&amp;" x 1,000 / 1,000 / "&amp;FIXED(L28,0)</f>
        <v> 2.16 x 1,000 / 1,000 / 66</v>
      </c>
      <c r="Q43" s="28"/>
      <c r="R43" s="28"/>
      <c r="S43" s="25"/>
      <c r="W43" s="96" t="s">
        <v>69</v>
      </c>
      <c r="X43" s="97">
        <v>34</v>
      </c>
    </row>
    <row r="44" spans="1:24" ht="18" customHeight="1">
      <c r="A44" s="58" t="s">
        <v>168</v>
      </c>
      <c r="B44" s="19">
        <f>MAX(B19,B24)*1000/1000/L28</f>
        <v>0.032914285714285715</v>
      </c>
      <c r="C44" s="2" t="str">
        <f>IF(B44&lt;D44,"&lt;  ","&gt;  ")</f>
        <v>&lt;  </v>
      </c>
      <c r="D44" s="19">
        <f>D11</f>
        <v>1.0499999999999998</v>
      </c>
      <c r="E44" s="14" t="s">
        <v>169</v>
      </c>
      <c r="G44" s="137" t="str">
        <f>IF(B44&lt;D44," OK "," NG ")</f>
        <v> OK </v>
      </c>
      <c r="W44" s="96" t="s">
        <v>70</v>
      </c>
      <c r="X44" s="97">
        <v>32</v>
      </c>
    </row>
    <row r="45" spans="1:2" ht="18" customHeight="1">
      <c r="A45" s="4"/>
      <c r="B45" s="24"/>
    </row>
    <row r="46" spans="1:9" ht="18" customHeight="1">
      <c r="A46" s="4"/>
      <c r="B46" s="24"/>
      <c r="C46" s="14"/>
      <c r="G46" s="138"/>
      <c r="H46" s="60" t="s">
        <v>14</v>
      </c>
      <c r="I46" s="60"/>
    </row>
    <row r="47" spans="1:20" ht="18" customHeight="1">
      <c r="A47" s="32" t="s">
        <v>11</v>
      </c>
      <c r="B47" s="61"/>
      <c r="C47" s="62"/>
      <c r="D47" s="63">
        <v>13</v>
      </c>
      <c r="E47" s="64">
        <v>200</v>
      </c>
      <c r="G47" s="137" t="str">
        <f>IF(B40&lt;=1000/E47*Q47," OK "," NG ")</f>
        <v> OK </v>
      </c>
      <c r="H47" s="44">
        <f>B40/(1000/E47*Q47)</f>
        <v>0.1932775352233513</v>
      </c>
      <c r="I47" s="44"/>
      <c r="J47" s="24" t="str">
        <f>" ( at = "&amp;FIXED(1000/E47*Q47,0)&amp;" (m㎡/m) )"</f>
        <v> ( at = 635 (m㎡/m) )</v>
      </c>
      <c r="O47" s="65">
        <f>IF(C47=10,71,IF(C47=13,127,IF(C47=16,199,IF(C47=19,287,IF(C47=22,387,IF(C47=25,507,0))))))</f>
        <v>0</v>
      </c>
      <c r="P47" s="65">
        <f>IF(D47=10,71,IF(D47=13,127,IF(D47=16,199,IF(D47=19,287,IF(D47=22,387,IF(D47=25,507,0))))))</f>
        <v>127</v>
      </c>
      <c r="Q47" s="66">
        <f>IF(C47="",P47,IF(D47="",O47,(O47+P47)/2))</f>
        <v>127</v>
      </c>
      <c r="R47" s="33">
        <f>IF(C47=10,3,IF(C47=13,4,IF(C47=16,5,IF(C47=19,6,IF(C47=22,7,IF(C47=25,8,0))))))</f>
        <v>0</v>
      </c>
      <c r="S47" s="33">
        <f>IF(D47=10,3,IF(D47=13,4,IF(D47=16,5,IF(D47=19,6,IF(D47=22,7,IF(D47=25,8,0))))))</f>
        <v>4</v>
      </c>
      <c r="T47" s="34">
        <f>IF(C47="",S47,IF(D47="",R47,(R47+S47)/2))</f>
        <v>4</v>
      </c>
    </row>
    <row r="48" spans="1:20" ht="16.5">
      <c r="A48" s="21"/>
      <c r="B48" s="67"/>
      <c r="C48" s="41"/>
      <c r="D48" s="68"/>
      <c r="E48" s="69">
        <f>IF(MAX(E47)&gt;200,"ピッチが200mmを超える",IF((1000/E47*Q47)/K12/10&lt;0.25,"",""))</f>
      </c>
      <c r="F48" s="70"/>
      <c r="G48" s="71"/>
      <c r="H48" s="72"/>
      <c r="I48" s="72"/>
      <c r="J48" s="73"/>
      <c r="K48" s="70"/>
      <c r="L48" s="70"/>
      <c r="M48" s="74"/>
      <c r="N48" s="70"/>
      <c r="O48" s="75"/>
      <c r="P48" s="75"/>
      <c r="Q48" s="76"/>
      <c r="R48" s="77"/>
      <c r="S48" s="77"/>
      <c r="T48" s="78"/>
    </row>
    <row r="49" ht="4.5" customHeight="1">
      <c r="C49" s="41"/>
    </row>
    <row r="50" ht="4.5" customHeight="1">
      <c r="E50" s="35"/>
    </row>
    <row r="51" spans="8:9" ht="15" customHeight="1">
      <c r="H51" s="60" t="s">
        <v>14</v>
      </c>
      <c r="I51" s="60"/>
    </row>
    <row r="52" spans="1:20" ht="18" customHeight="1">
      <c r="A52" s="32" t="s">
        <v>12</v>
      </c>
      <c r="B52" s="61"/>
      <c r="C52" s="62"/>
      <c r="D52" s="63">
        <v>13</v>
      </c>
      <c r="E52" s="64">
        <v>200</v>
      </c>
      <c r="G52" s="137" t="str">
        <f>IF(1000/E47*Q47*D12&lt;=1000/E52*Q52,IF(H52&lt;1," OK "," NG ")," NG ")</f>
        <v> OK </v>
      </c>
      <c r="H52" s="44">
        <f>B40*D12/(1000/E52*Q52)</f>
        <v>0.09663876761167565</v>
      </c>
      <c r="I52" s="44"/>
      <c r="J52" s="24" t="str">
        <f>" ( at = "&amp;FIXED(1000/E52*Q52,0)&amp;" (m㎡/m) )"</f>
        <v> ( at = 635 (m㎡/m) )</v>
      </c>
      <c r="O52" s="65">
        <f>IF(C52=10,71,IF(C52=13,127,IF(C52=16,199,IF(C52=19,287,IF(C52=22,387,IF(C52=25,507,0))))))</f>
        <v>0</v>
      </c>
      <c r="P52" s="65">
        <f>IF(D52=10,71,IF(D52=13,127,IF(D52=16,199,IF(D52=19,287,IF(D52=22,387,IF(D52=25,507,0))))))</f>
        <v>127</v>
      </c>
      <c r="Q52" s="66">
        <f>IF(C52="",P52,IF(D52="",O52,(O52+P52)/2))</f>
        <v>127</v>
      </c>
      <c r="R52" s="33">
        <f>IF(C52=10,3,IF(C52=13,4,IF(C52=16,5,IF(C52=19,6,IF(C52=22,7,IF(C52=25,8,0))))))</f>
        <v>0</v>
      </c>
      <c r="S52" s="33">
        <f>IF(D52=10,3,IF(D52=13,4,IF(D52=16,5,IF(D52=19,6,IF(D52=22,7,IF(D52=25,8,0))))))</f>
        <v>4</v>
      </c>
      <c r="T52" s="34">
        <f>IF(C52="",S52,IF(D52="",R52,(R52+S52)/2))</f>
        <v>4</v>
      </c>
    </row>
    <row r="53" spans="2:24" s="79" customFormat="1" ht="16.5">
      <c r="B53" s="67"/>
      <c r="C53" s="41"/>
      <c r="D53" s="36"/>
      <c r="E53" s="69">
        <f>IF(MAX(E52)&gt;200,"ピッチが"&amp;FIXED(200,0)&amp;"mmを超える",IF((1000/E52*Q52)/K12/10&lt;0.25,"",""))</f>
      </c>
      <c r="G53" s="80"/>
      <c r="H53" s="81"/>
      <c r="I53" s="81"/>
      <c r="J53" s="82"/>
      <c r="M53" s="83"/>
      <c r="O53" s="75"/>
      <c r="P53" s="75"/>
      <c r="Q53" s="76"/>
      <c r="R53" s="77"/>
      <c r="S53" s="77"/>
      <c r="T53" s="78"/>
      <c r="W53" s="96"/>
      <c r="X53" s="97"/>
    </row>
    <row r="54" spans="2:5" ht="13.5">
      <c r="B54" s="11"/>
      <c r="C54" s="84"/>
      <c r="D54" s="11"/>
      <c r="E54" s="85"/>
    </row>
    <row r="59" spans="4:15" ht="14.25">
      <c r="D59" s="101"/>
      <c r="E59" s="101"/>
      <c r="F59" s="101"/>
      <c r="G59" s="101"/>
      <c r="H59" s="101"/>
      <c r="I59" s="101"/>
      <c r="J59" s="101"/>
      <c r="K59" s="102"/>
      <c r="L59" s="103"/>
      <c r="O59" s="101"/>
    </row>
    <row r="60" spans="4:15" ht="14.25">
      <c r="D60" s="101"/>
      <c r="E60" s="101"/>
      <c r="F60" s="101"/>
      <c r="G60" s="101"/>
      <c r="H60" s="108"/>
      <c r="I60" s="108"/>
      <c r="J60" s="108"/>
      <c r="K60" s="108"/>
      <c r="L60" s="101"/>
      <c r="M60" s="125"/>
      <c r="N60" s="109"/>
      <c r="O60" s="101"/>
    </row>
    <row r="61" spans="4:15" ht="14.25">
      <c r="D61" s="104"/>
      <c r="E61" s="104"/>
      <c r="F61" s="104"/>
      <c r="G61" s="104"/>
      <c r="H61" s="108"/>
      <c r="I61" s="108"/>
      <c r="J61" s="108"/>
      <c r="K61" s="108"/>
      <c r="L61" s="101"/>
      <c r="M61" s="112"/>
      <c r="N61" s="113"/>
      <c r="O61" s="101"/>
    </row>
    <row r="62" spans="4:14" ht="14.25">
      <c r="D62" s="101"/>
      <c r="E62" s="101"/>
      <c r="F62" s="101"/>
      <c r="G62" s="101"/>
      <c r="H62" s="108"/>
      <c r="I62" s="108"/>
      <c r="J62" s="108"/>
      <c r="K62" s="108"/>
      <c r="L62" s="101"/>
      <c r="M62" s="101"/>
      <c r="N62" s="101"/>
    </row>
    <row r="63" spans="2:15" ht="14.25">
      <c r="B63" s="101"/>
      <c r="C63" s="105"/>
      <c r="D63" s="101"/>
      <c r="E63" s="101"/>
      <c r="F63" s="101"/>
      <c r="G63" s="101"/>
      <c r="H63" s="108"/>
      <c r="I63" s="108"/>
      <c r="J63" s="108"/>
      <c r="K63" s="108"/>
      <c r="L63" s="101"/>
      <c r="M63" s="112"/>
      <c r="N63" s="113"/>
      <c r="O63" s="101"/>
    </row>
    <row r="64" spans="4:15" ht="14.25">
      <c r="D64" s="101"/>
      <c r="E64" s="101"/>
      <c r="F64" s="101"/>
      <c r="G64" s="101"/>
      <c r="H64" s="108"/>
      <c r="I64" s="108"/>
      <c r="J64" s="108"/>
      <c r="K64" s="108"/>
      <c r="L64" s="101"/>
      <c r="M64" s="101"/>
      <c r="N64" s="101"/>
      <c r="O64" s="101"/>
    </row>
  </sheetData>
  <sheetProtection sheet="1" objects="1" scenarios="1"/>
  <mergeCells count="19">
    <mergeCell ref="J4:K5"/>
    <mergeCell ref="L14:L15"/>
    <mergeCell ref="Q11:Q12"/>
    <mergeCell ref="L39:M39"/>
    <mergeCell ref="B29:D29"/>
    <mergeCell ref="L30:M30"/>
    <mergeCell ref="K21:M21"/>
    <mergeCell ref="B30:D30"/>
    <mergeCell ref="L36:M36"/>
    <mergeCell ref="L26:M26"/>
    <mergeCell ref="B36:E36"/>
    <mergeCell ref="B33:H33"/>
    <mergeCell ref="L24:M24"/>
    <mergeCell ref="G17:G18"/>
    <mergeCell ref="L23:M23"/>
    <mergeCell ref="H11:H13"/>
    <mergeCell ref="L27:M27"/>
    <mergeCell ref="L28:M28"/>
    <mergeCell ref="B34:D34"/>
  </mergeCells>
  <conditionalFormatting sqref="G44 G47:G48 G52:G53 R11:R13">
    <cfRule type="cellIs" priority="1" dxfId="34" operator="equal" stopIfTrue="1">
      <formula>" NG "</formula>
    </cfRule>
  </conditionalFormatting>
  <conditionalFormatting sqref="B44">
    <cfRule type="cellIs" priority="2" dxfId="34" operator="greaterThanOrEqual" stopIfTrue="1">
      <formula>$D$44</formula>
    </cfRule>
  </conditionalFormatting>
  <conditionalFormatting sqref="C54">
    <cfRule type="cellIs" priority="3" dxfId="35" operator="equal" stopIfTrue="1">
      <formula>"(チドリ)"</formula>
    </cfRule>
  </conditionalFormatting>
  <conditionalFormatting sqref="H47:I48 H52:I53 S4:S5 S7:S13">
    <cfRule type="cellIs" priority="4" dxfId="34" operator="greaterThanOrEqual" stopIfTrue="1">
      <formula>1</formula>
    </cfRule>
  </conditionalFormatting>
  <conditionalFormatting sqref="C48 C53">
    <cfRule type="cellIs" priority="5" dxfId="35" operator="equal" stopIfTrue="1">
      <formula>"(チドリ)"</formula>
    </cfRule>
    <cfRule type="cellIs" priority="6" dxfId="35" operator="equal" stopIfTrue="1">
      <formula>"(ダブル)"</formula>
    </cfRule>
  </conditionalFormatting>
  <conditionalFormatting sqref="G6">
    <cfRule type="cellIs" priority="7" dxfId="36" operator="lessThan" stopIfTrue="1">
      <formula>$H$6</formula>
    </cfRule>
  </conditionalFormatting>
  <conditionalFormatting sqref="H6 H18 K20:M20">
    <cfRule type="cellIs" priority="8" dxfId="36" operator="greaterThan" stopIfTrue="1">
      <formula>$G$6</formula>
    </cfRule>
  </conditionalFormatting>
  <conditionalFormatting sqref="E30 F35 L36">
    <cfRule type="cellIs" priority="9" dxfId="36" operator="equal" stopIfTrue="1">
      <formula>"NG"</formula>
    </cfRule>
  </conditionalFormatting>
  <conditionalFormatting sqref="B18">
    <cfRule type="cellIs" priority="10" dxfId="37" operator="greaterThan" stopIfTrue="1">
      <formula>$B$23</formula>
    </cfRule>
  </conditionalFormatting>
  <conditionalFormatting sqref="B19">
    <cfRule type="cellIs" priority="11" dxfId="37" operator="greaterThan" stopIfTrue="1">
      <formula>$B$24</formula>
    </cfRule>
  </conditionalFormatting>
  <conditionalFormatting sqref="B23">
    <cfRule type="cellIs" priority="12" dxfId="37" operator="greaterThan" stopIfTrue="1">
      <formula>$B$18</formula>
    </cfRule>
  </conditionalFormatting>
  <conditionalFormatting sqref="B24">
    <cfRule type="cellIs" priority="13" dxfId="37" operator="greaterThan" stopIfTrue="1">
      <formula>$B$19</formula>
    </cfRule>
  </conditionalFormatting>
  <conditionalFormatting sqref="R4:R10">
    <cfRule type="cellIs" priority="14" dxfId="34" operator="equal" stopIfTrue="1">
      <formula>"NG"</formula>
    </cfRule>
  </conditionalFormatting>
  <conditionalFormatting sqref="F21">
    <cfRule type="expression" priority="15" dxfId="38" stopIfTrue="1">
      <formula>$H$6=0</formula>
    </cfRule>
  </conditionalFormatting>
  <conditionalFormatting sqref="O22">
    <cfRule type="cellIs" priority="16" dxfId="36" operator="lessThan" stopIfTrue="1">
      <formula>0.3</formula>
    </cfRule>
  </conditionalFormatting>
  <dataValidations count="3">
    <dataValidation type="list" allowBlank="1" showInputMessage="1" showErrorMessage="1" sqref="E3">
      <formula1>$W$4:$W$44</formula1>
    </dataValidation>
    <dataValidation type="list" allowBlank="1" showInputMessage="1" showErrorMessage="1" prompt="地表面粗度区分" sqref="F4">
      <formula1>$Y$16:$Y$19</formula1>
    </dataValidation>
    <dataValidation type="list" allowBlank="1" showInputMessage="1" showErrorMessage="1" sqref="O23">
      <formula1>$Z$16:$Z$17</formula1>
    </dataValidation>
  </dataValidations>
  <printOptions horizontalCentered="1"/>
  <pageMargins left="0.7874015748031497" right="0.7874015748031497" top="0.984251968503937" bottom="0.7874015748031497" header="0.3937007874015748" footer="0.5905511811023623"/>
  <pageSetup fitToHeight="1" fitToWidth="1" horizontalDpi="200" verticalDpi="200" orientation="portrait" paperSize="9" scale="90" r:id="rId4"/>
  <headerFooter alignWithMargins="0">
    <oddHeader>&amp;C&amp;10&amp;A&amp;R&amp;10&amp;F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補強コンクリートブロックの検討</dc:title>
  <dc:subject/>
  <dc:creator/>
  <cp:keywords/>
  <dc:description>補強コンクリートブロックの検討</dc:description>
  <cp:lastModifiedBy>Windows ユーザー</cp:lastModifiedBy>
  <cp:lastPrinted>2011-01-12T12:22:23Z</cp:lastPrinted>
  <dcterms:created xsi:type="dcterms:W3CDTF">2001-05-26T03:46:15Z</dcterms:created>
  <dcterms:modified xsi:type="dcterms:W3CDTF">2020-02-18T06:11:38Z</dcterms:modified>
  <cp:category/>
  <cp:version/>
  <cp:contentType/>
  <cp:contentStatus/>
</cp:coreProperties>
</file>